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yan alshareef\Desktop\"/>
    </mc:Choice>
  </mc:AlternateContent>
  <xr:revisionPtr revIDLastSave="0" documentId="8_{7D9AB571-A3C6-4261-AB72-B37526AE471A}" xr6:coauthVersionLast="45" xr6:coauthVersionMax="45" xr10:uidLastSave="{00000000-0000-0000-0000-000000000000}"/>
  <bookViews>
    <workbookView xWindow="-108" yWindow="-108" windowWidth="23256" windowHeight="12576" xr2:uid="{DC9E9E06-053F-4CD8-BCD2-882828E5D6F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B111" i="1"/>
  <c r="N112" i="1"/>
  <c r="M112" i="1"/>
  <c r="L112" i="1"/>
  <c r="K112" i="1"/>
  <c r="H112" i="1"/>
  <c r="N111" i="1"/>
  <c r="M111" i="1"/>
  <c r="L111" i="1"/>
  <c r="K111" i="1"/>
  <c r="J111" i="1"/>
  <c r="I111" i="1"/>
  <c r="H111" i="1"/>
  <c r="E114" i="1"/>
  <c r="D114" i="1"/>
  <c r="B114" i="1"/>
  <c r="E113" i="1"/>
  <c r="D113" i="1"/>
  <c r="C113" i="1"/>
  <c r="B113" i="1"/>
  <c r="N96" i="1" l="1"/>
  <c r="M96" i="1"/>
  <c r="L96" i="1"/>
  <c r="I96" i="1"/>
  <c r="M97" i="1" l="1"/>
  <c r="J97" i="1"/>
  <c r="I97" i="1"/>
  <c r="H97" i="1"/>
  <c r="E99" i="1" l="1"/>
  <c r="K96" i="1"/>
  <c r="J96" i="1"/>
  <c r="H96" i="1" l="1"/>
  <c r="D99" i="1"/>
  <c r="E98" i="1"/>
  <c r="D98" i="1"/>
  <c r="C98" i="1"/>
  <c r="B98" i="1"/>
  <c r="E112" i="1" l="1"/>
  <c r="D112" i="1"/>
  <c r="C112" i="1"/>
  <c r="B112" i="1"/>
  <c r="E111" i="1"/>
  <c r="D111" i="1"/>
  <c r="C111" i="1"/>
  <c r="E97" i="1" l="1"/>
  <c r="D97" i="1"/>
  <c r="C97" i="1"/>
  <c r="B97" i="1"/>
  <c r="E96" i="1"/>
  <c r="D96" i="1"/>
  <c r="C96" i="1"/>
  <c r="B96" i="1"/>
  <c r="E22" i="1"/>
  <c r="N97" i="1" l="1"/>
  <c r="L97" i="1" l="1"/>
  <c r="K97" i="1"/>
  <c r="J112" i="1"/>
  <c r="I112" i="1"/>
  <c r="C114" i="1" l="1"/>
  <c r="C99" i="1" l="1"/>
  <c r="B99" i="1"/>
  <c r="D78" i="1" l="1"/>
  <c r="D82" i="1" l="1"/>
  <c r="D79" i="1"/>
  <c r="D76" i="1"/>
  <c r="D75" i="1"/>
  <c r="H26" i="1" l="1"/>
  <c r="G26" i="1"/>
  <c r="E67" i="1" l="1"/>
  <c r="E66" i="1"/>
  <c r="E64" i="1"/>
  <c r="E63" i="1"/>
  <c r="E61" i="1"/>
  <c r="D67" i="1"/>
  <c r="D66" i="1"/>
  <c r="D64" i="1"/>
  <c r="D63" i="1"/>
  <c r="D59" i="1"/>
  <c r="E60" i="1"/>
  <c r="E59" i="1"/>
  <c r="E58" i="1"/>
  <c r="D61" i="1"/>
  <c r="D60" i="1"/>
  <c r="D58" i="1"/>
  <c r="C61" i="1"/>
  <c r="C60" i="1"/>
  <c r="B61" i="1"/>
  <c r="B60" i="1"/>
  <c r="B59" i="1"/>
  <c r="C58" i="1"/>
  <c r="B58" i="1"/>
  <c r="H31" i="1"/>
  <c r="H24" i="1"/>
  <c r="H23" i="1"/>
  <c r="H22" i="1"/>
  <c r="H21" i="1"/>
  <c r="H19" i="1"/>
  <c r="H17" i="1"/>
  <c r="H18" i="1"/>
  <c r="H16" i="1"/>
  <c r="H15" i="1"/>
  <c r="H14" i="1"/>
  <c r="H13" i="1"/>
  <c r="H12" i="1"/>
  <c r="G18" i="1"/>
  <c r="G31" i="1"/>
  <c r="G24" i="1"/>
  <c r="G23" i="1"/>
  <c r="G22" i="1"/>
  <c r="G21" i="1"/>
  <c r="G19" i="1"/>
  <c r="G17" i="1"/>
  <c r="G16" i="1"/>
  <c r="G15" i="1"/>
  <c r="G14" i="1"/>
  <c r="G13" i="1"/>
  <c r="G12" i="1"/>
  <c r="F12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E35" i="1"/>
  <c r="E34" i="1"/>
  <c r="E33" i="1"/>
  <c r="E32" i="1"/>
  <c r="E31" i="1"/>
  <c r="E30" i="1"/>
  <c r="E29" i="1"/>
  <c r="E28" i="1"/>
  <c r="E26" i="1"/>
  <c r="E25" i="1"/>
  <c r="E24" i="1"/>
  <c r="E23" i="1"/>
  <c r="E21" i="1"/>
  <c r="E19" i="1"/>
  <c r="E18" i="1"/>
  <c r="E17" i="1"/>
  <c r="E16" i="1"/>
  <c r="E15" i="1"/>
  <c r="E14" i="1"/>
  <c r="E12" i="1"/>
  <c r="E13" i="1"/>
  <c r="D34" i="1"/>
  <c r="D32" i="1"/>
  <c r="D30" i="1"/>
  <c r="D28" i="1"/>
  <c r="D25" i="1"/>
  <c r="D21" i="1"/>
  <c r="D18" i="1"/>
  <c r="D16" i="1"/>
  <c r="D14" i="1"/>
  <c r="D12" i="1"/>
  <c r="C12" i="1"/>
  <c r="C34" i="1"/>
  <c r="C32" i="1"/>
  <c r="C30" i="1"/>
  <c r="C28" i="1"/>
  <c r="C25" i="1"/>
  <c r="C23" i="1"/>
  <c r="C21" i="1"/>
  <c r="C18" i="1"/>
  <c r="C16" i="1"/>
  <c r="C14" i="1"/>
</calcChain>
</file>

<file path=xl/sharedStrings.xml><?xml version="1.0" encoding="utf-8"?>
<sst xmlns="http://schemas.openxmlformats.org/spreadsheetml/2006/main" count="126" uniqueCount="103">
  <si>
    <t xml:space="preserve">Age </t>
  </si>
  <si>
    <t>Children</t>
  </si>
  <si>
    <t>Boys</t>
  </si>
  <si>
    <t>Girls</t>
  </si>
  <si>
    <t>0 - 3 M</t>
  </si>
  <si>
    <t>4 - 6 M</t>
  </si>
  <si>
    <t>7 - 9 M</t>
  </si>
  <si>
    <t>1 - 3 Y</t>
  </si>
  <si>
    <t>4 - 6 Y</t>
  </si>
  <si>
    <t>7 - 10 Y</t>
  </si>
  <si>
    <t>15 - 18 Y</t>
  </si>
  <si>
    <t>11 - 14 Y</t>
  </si>
  <si>
    <t>10 - 12 M</t>
  </si>
  <si>
    <t>Preterm Infants</t>
  </si>
  <si>
    <t>EN:</t>
  </si>
  <si>
    <t>PN:</t>
  </si>
  <si>
    <t>For growth</t>
  </si>
  <si>
    <t>For maintenance</t>
  </si>
  <si>
    <t>Initially: 2 - 3, advanced to 4</t>
  </si>
  <si>
    <t>Breastfeeding</t>
  </si>
  <si>
    <t>Cow's milk formula</t>
  </si>
  <si>
    <t xml:space="preserve">1st week: </t>
  </si>
  <si>
    <t>2nd week:</t>
  </si>
  <si>
    <t>Wt (kg)</t>
  </si>
  <si>
    <r>
      <t xml:space="preserve">Upper limit is </t>
    </r>
    <r>
      <rPr>
        <u/>
        <sz val="12"/>
        <color theme="1"/>
        <rFont val="Calibri"/>
        <family val="2"/>
        <scheme val="minor"/>
      </rPr>
      <t>165 kcal/kg/d</t>
    </r>
    <r>
      <rPr>
        <sz val="12"/>
        <color theme="1"/>
        <rFont val="Calibri"/>
        <family val="2"/>
        <scheme val="minor"/>
      </rPr>
      <t xml:space="preserve"> if growth rate is inadequate.</t>
    </r>
  </si>
  <si>
    <t>&gt; 6 Y</t>
  </si>
  <si>
    <t>&gt; 5 Y</t>
  </si>
  <si>
    <t>Prader-willi syndrome</t>
  </si>
  <si>
    <t>Weight maintenance</t>
  </si>
  <si>
    <t>Cerebral Palsy ( 5-12y )</t>
  </si>
  <si>
    <t>Down syndrome ( 5-12y )</t>
  </si>
  <si>
    <t>Myelomeningocele spina bifida</t>
  </si>
  <si>
    <t>Ht. (cm)</t>
  </si>
  <si>
    <t>Females</t>
  </si>
  <si>
    <t>Males</t>
  </si>
  <si>
    <t>Weight maintenance requirement and Weight loss requirement</t>
  </si>
  <si>
    <t>10-11kcal/cm</t>
  </si>
  <si>
    <t>Mild to moderate activity</t>
  </si>
  <si>
    <t>Sever physical restriction</t>
  </si>
  <si>
    <t>Athetoid cerebral palsy</t>
  </si>
  <si>
    <t>9-11 kcal/cm</t>
  </si>
  <si>
    <t>Weight loss</t>
  </si>
  <si>
    <t>&gt; 1yr</t>
  </si>
  <si>
    <t>50% RDA/DRI for age</t>
  </si>
  <si>
    <t>Kcal</t>
  </si>
  <si>
    <t>1-6 mon</t>
  </si>
  <si>
    <t>7-12 mon</t>
  </si>
  <si>
    <t xml:space="preserve">13-18 mon </t>
  </si>
  <si>
    <t>19-24 mon</t>
  </si>
  <si>
    <t>Wt-for-age</t>
  </si>
  <si>
    <t>IBW/age</t>
  </si>
  <si>
    <t>Ht-for-age</t>
  </si>
  <si>
    <t>46-52 cm</t>
  </si>
  <si>
    <t>53-59 cm</t>
  </si>
  <si>
    <t>60-66 cm</t>
  </si>
  <si>
    <t>Wt-for-Ht</t>
  </si>
  <si>
    <t>IBW/Ht</t>
  </si>
  <si>
    <r>
      <t xml:space="preserve">CDC Growth Charts </t>
    </r>
    <r>
      <rPr>
        <b/>
        <u/>
        <sz val="16"/>
        <color rgb="FFC00000"/>
        <rFont val="Calibri"/>
        <family val="2"/>
        <scheme val="minor"/>
      </rPr>
      <t>(BOYS)</t>
    </r>
  </si>
  <si>
    <r>
      <rPr>
        <b/>
        <sz val="16"/>
        <color theme="1"/>
        <rFont val="Calibri"/>
        <family val="2"/>
        <scheme val="minor"/>
      </rPr>
      <t xml:space="preserve">CDC Growth Charts </t>
    </r>
    <r>
      <rPr>
        <b/>
        <u/>
        <sz val="16"/>
        <color rgb="FFC00000"/>
        <rFont val="Calibri"/>
        <family val="2"/>
        <scheme val="minor"/>
      </rPr>
      <t>(GIRLS)</t>
    </r>
  </si>
  <si>
    <t>67-73 cm</t>
  </si>
  <si>
    <t>74-80 cm</t>
  </si>
  <si>
    <t>81-87 cm</t>
  </si>
  <si>
    <t>IBHt/age</t>
  </si>
  <si>
    <t>Ht (cm)</t>
  </si>
  <si>
    <t>IHt/age</t>
  </si>
  <si>
    <t>Age (month)</t>
  </si>
  <si>
    <t>88-94 cm</t>
  </si>
  <si>
    <t>Calorie requirement (Kcal/d)</t>
  </si>
  <si>
    <t>Protein requirement (g/d)</t>
  </si>
  <si>
    <t>Fluid requirement (ml/d)</t>
  </si>
  <si>
    <t>EN calorie requirement (Kcal/d)</t>
  </si>
  <si>
    <t>EN protein requirement (g/d)</t>
  </si>
  <si>
    <t>PN protein requirement (g/d)</t>
  </si>
  <si>
    <t>Energy (Kcal/d)</t>
  </si>
  <si>
    <t>Protein (g/d)</t>
  </si>
  <si>
    <t>Fluid (ml/d)</t>
  </si>
  <si>
    <t>up to 6000 kcal/day</t>
  </si>
  <si>
    <t>Recommendations for Weight and Length Gain for Healthy Children</t>
  </si>
  <si>
    <t>Age</t>
  </si>
  <si>
    <t>0-3 mo</t>
  </si>
  <si>
    <t>3-6 mo</t>
  </si>
  <si>
    <t>6-12 mo</t>
  </si>
  <si>
    <t>Weight (g/d)</t>
  </si>
  <si>
    <t>Length (cm/mo)</t>
  </si>
  <si>
    <t>1-3 y</t>
  </si>
  <si>
    <t>4-6 y</t>
  </si>
  <si>
    <t>7-10 y</t>
  </si>
  <si>
    <t>25-35</t>
  </si>
  <si>
    <t>15-21</t>
  </si>
  <si>
    <t>2.6-3.5</t>
  </si>
  <si>
    <t>1.6-2.5</t>
  </si>
  <si>
    <t>0.7-1.1</t>
  </si>
  <si>
    <t>0.5-0.8</t>
  </si>
  <si>
    <t>0.4-0.6</t>
  </si>
  <si>
    <t>1.2-1.7</t>
  </si>
  <si>
    <t>10-13</t>
  </si>
  <si>
    <t>4-10</t>
  </si>
  <si>
    <t>5-8</t>
  </si>
  <si>
    <t>5-12</t>
  </si>
  <si>
    <r>
      <t xml:space="preserve">Special Needs </t>
    </r>
    <r>
      <rPr>
        <b/>
        <sz val="16"/>
        <color rgb="FFC00000"/>
        <rFont val="Calibri"/>
        <family val="2"/>
        <scheme val="minor"/>
      </rPr>
      <t>(pokcet guide)</t>
    </r>
  </si>
  <si>
    <t>RDA For Pediatrics</t>
  </si>
  <si>
    <t>Infant (Full-term)</t>
  </si>
  <si>
    <t>By Dietitians: Bayan Alshareef, Shahad Mannan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</si>
</sst>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rgb="FF7F7F7F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7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6100"/>
      <name val="Calibri"/>
      <family val="2"/>
      <scheme val="minor"/>
    </font>
    <font>
      <b/>
      <u/>
      <sz val="16"/>
      <color rgb="FFC00000"/>
      <name val="Calibri"/>
      <family val="2"/>
      <scheme val="minor"/>
    </font>
    <font>
      <b/>
      <sz val="16"/>
      <color rgb="FFFCE4D6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C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EBEE"/>
        <bgColor indexed="64"/>
      </patternFill>
    </fill>
    <fill>
      <patternFill patternType="solid">
        <fgColor rgb="FFE4F8E8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CE4D6"/>
        <bgColor indexed="64"/>
      </patternFill>
    </fill>
    <fill>
      <patternFill patternType="solid">
        <fgColor rgb="FFC5DDF1"/>
        <bgColor indexed="64"/>
      </patternFill>
    </fill>
    <fill>
      <patternFill patternType="solid">
        <fgColor rgb="FF99C4E7"/>
        <bgColor indexed="64"/>
      </patternFill>
    </fill>
    <fill>
      <patternFill patternType="solid">
        <fgColor rgb="FFFFEB9C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BF4FB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5" borderId="0" applyNumberFormat="0" applyBorder="0" applyAlignment="0" applyProtection="0"/>
  </cellStyleXfs>
  <cellXfs count="79">
    <xf numFmtId="0" fontId="0" fillId="0" borderId="0" xfId="0"/>
    <xf numFmtId="0" fontId="0" fillId="0" borderId="0" xfId="0" applyAlignment="1">
      <alignment vertical="center"/>
    </xf>
    <xf numFmtId="0" fontId="11" fillId="0" borderId="0" xfId="3" applyFont="1" applyAlignment="1">
      <alignment horizontal="center" vertical="center"/>
    </xf>
    <xf numFmtId="0" fontId="11" fillId="0" borderId="0" xfId="3" applyFont="1" applyAlignment="1">
      <alignment wrapText="1"/>
    </xf>
    <xf numFmtId="0" fontId="11" fillId="0" borderId="0" xfId="3" applyFont="1" applyAlignment="1">
      <alignment horizontal="center" vertical="center" wrapText="1"/>
    </xf>
    <xf numFmtId="0" fontId="11" fillId="0" borderId="0" xfId="3" applyFont="1" applyAlignment="1">
      <alignment horizontal="center" wrapText="1"/>
    </xf>
    <xf numFmtId="0" fontId="6" fillId="0" borderId="0" xfId="3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6" borderId="0" xfId="6" applyFont="1" applyAlignment="1">
      <alignment horizontal="center" vertical="center"/>
    </xf>
    <xf numFmtId="0" fontId="7" fillId="6" borderId="0" xfId="6" applyFont="1" applyAlignment="1">
      <alignment horizontal="center"/>
    </xf>
    <xf numFmtId="0" fontId="14" fillId="6" borderId="0" xfId="6" applyFont="1" applyAlignment="1">
      <alignment horizontal="center" vertical="center"/>
    </xf>
    <xf numFmtId="0" fontId="10" fillId="7" borderId="0" xfId="7" applyFont="1" applyAlignment="1">
      <alignment horizontal="center" vertical="center"/>
    </xf>
    <xf numFmtId="0" fontId="10" fillId="7" borderId="0" xfId="7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3" fillId="8" borderId="0" xfId="2" applyFill="1" applyAlignment="1">
      <alignment horizontal="center" vertical="center"/>
    </xf>
    <xf numFmtId="0" fontId="3" fillId="8" borderId="0" xfId="2" applyFill="1" applyAlignment="1">
      <alignment horizontal="center"/>
    </xf>
    <xf numFmtId="0" fontId="2" fillId="9" borderId="0" xfId="1" applyFill="1" applyAlignment="1">
      <alignment horizontal="center" vertical="center"/>
    </xf>
    <xf numFmtId="0" fontId="2" fillId="9" borderId="0" xfId="1" applyFill="1" applyAlignment="1">
      <alignment horizontal="center"/>
    </xf>
    <xf numFmtId="0" fontId="10" fillId="5" borderId="0" xfId="5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2" borderId="0" xfId="1" applyFont="1" applyAlignment="1">
      <alignment horizontal="center" vertical="center"/>
    </xf>
    <xf numFmtId="0" fontId="10" fillId="7" borderId="0" xfId="7" applyFont="1"/>
    <xf numFmtId="0" fontId="10" fillId="13" borderId="0" xfId="7" applyFont="1" applyFill="1"/>
    <xf numFmtId="0" fontId="10" fillId="14" borderId="0" xfId="7" applyFont="1" applyFill="1"/>
    <xf numFmtId="0" fontId="7" fillId="3" borderId="0" xfId="2" applyFont="1"/>
    <xf numFmtId="0" fontId="7" fillId="15" borderId="0" xfId="10" applyFont="1"/>
    <xf numFmtId="0" fontId="7" fillId="2" borderId="0" xfId="1" applyFont="1"/>
    <xf numFmtId="0" fontId="0" fillId="0" borderId="0" xfId="0" applyFont="1"/>
    <xf numFmtId="0" fontId="11" fillId="0" borderId="0" xfId="0" applyFont="1"/>
    <xf numFmtId="0" fontId="7" fillId="16" borderId="0" xfId="10" applyFont="1" applyFill="1"/>
    <xf numFmtId="0" fontId="21" fillId="15" borderId="0" xfId="10" applyFont="1" applyAlignment="1"/>
    <xf numFmtId="0" fontId="21" fillId="0" borderId="0" xfId="10" applyFont="1" applyFill="1" applyAlignment="1"/>
    <xf numFmtId="0" fontId="3" fillId="8" borderId="0" xfId="2" applyFill="1" applyAlignment="1">
      <alignment horizontal="center" vertical="center"/>
    </xf>
    <xf numFmtId="0" fontId="7" fillId="16" borderId="0" xfId="0" applyFont="1" applyFill="1"/>
    <xf numFmtId="0" fontId="15" fillId="9" borderId="0" xfId="9" applyFont="1" applyFill="1"/>
    <xf numFmtId="49" fontId="15" fillId="9" borderId="0" xfId="9" applyNumberFormat="1" applyFont="1" applyFill="1"/>
    <xf numFmtId="0" fontId="13" fillId="9" borderId="0" xfId="1" applyFont="1" applyFill="1" applyAlignment="1">
      <alignment horizontal="center" vertical="center"/>
    </xf>
    <xf numFmtId="0" fontId="13" fillId="9" borderId="0" xfId="1" applyFont="1" applyFill="1" applyAlignment="1">
      <alignment horizontal="center"/>
    </xf>
    <xf numFmtId="0" fontId="3" fillId="8" borderId="0" xfId="2" applyFill="1"/>
    <xf numFmtId="0" fontId="15" fillId="17" borderId="0" xfId="6" applyFont="1" applyFill="1"/>
    <xf numFmtId="0" fontId="15" fillId="17" borderId="0" xfId="6" applyNumberFormat="1" applyFont="1" applyFill="1"/>
    <xf numFmtId="49" fontId="15" fillId="17" borderId="0" xfId="6" applyNumberFormat="1" applyFont="1" applyFill="1"/>
    <xf numFmtId="0" fontId="12" fillId="8" borderId="0" xfId="2" applyFont="1" applyFill="1" applyBorder="1" applyAlignment="1">
      <alignment horizontal="center" vertical="center" wrapText="1"/>
    </xf>
    <xf numFmtId="0" fontId="7" fillId="6" borderId="0" xfId="6" applyFont="1" applyBorder="1" applyAlignment="1">
      <alignment horizontal="center" vertical="center" wrapText="1"/>
    </xf>
    <xf numFmtId="0" fontId="7" fillId="6" borderId="0" xfId="6" applyFont="1" applyBorder="1" applyAlignment="1">
      <alignment horizontal="center" vertical="center"/>
    </xf>
    <xf numFmtId="0" fontId="7" fillId="9" borderId="0" xfId="9" applyFont="1" applyFill="1" applyBorder="1" applyAlignment="1">
      <alignment horizontal="center" vertical="center"/>
    </xf>
    <xf numFmtId="0" fontId="7" fillId="19" borderId="0" xfId="8" applyFont="1" applyFill="1" applyBorder="1" applyAlignment="1">
      <alignment horizontal="center" vertical="center" wrapText="1"/>
    </xf>
    <xf numFmtId="0" fontId="10" fillId="18" borderId="0" xfId="8" applyFont="1" applyFill="1" applyBorder="1" applyAlignment="1">
      <alignment horizontal="center" vertical="center"/>
    </xf>
    <xf numFmtId="0" fontId="8" fillId="12" borderId="0" xfId="4" applyFont="1" applyFill="1" applyAlignment="1">
      <alignment horizontal="center" vertical="center"/>
    </xf>
    <xf numFmtId="0" fontId="8" fillId="4" borderId="0" xfId="4" applyFont="1" applyAlignment="1">
      <alignment horizontal="center" vertical="center"/>
    </xf>
    <xf numFmtId="0" fontId="22" fillId="4" borderId="0" xfId="4" applyFont="1" applyAlignment="1">
      <alignment horizontal="center" vertical="center"/>
    </xf>
    <xf numFmtId="0" fontId="12" fillId="8" borderId="0" xfId="2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9" borderId="0" xfId="1" applyFont="1" applyFill="1" applyAlignment="1">
      <alignment horizontal="center" vertical="center"/>
    </xf>
    <xf numFmtId="0" fontId="14" fillId="6" borderId="0" xfId="6" applyFont="1" applyAlignment="1">
      <alignment horizontal="center" vertical="center"/>
    </xf>
    <xf numFmtId="0" fontId="12" fillId="8" borderId="0" xfId="2" applyFont="1" applyFill="1" applyBorder="1" applyAlignment="1">
      <alignment horizontal="center" vertical="center" wrapText="1"/>
    </xf>
    <xf numFmtId="0" fontId="7" fillId="6" borderId="0" xfId="6" applyFont="1" applyBorder="1" applyAlignment="1">
      <alignment horizontal="center" vertical="center" wrapText="1"/>
    </xf>
    <xf numFmtId="0" fontId="7" fillId="9" borderId="0" xfId="9" applyFont="1" applyFill="1" applyBorder="1" applyAlignment="1">
      <alignment horizontal="center" vertical="center" wrapText="1"/>
    </xf>
    <xf numFmtId="0" fontId="11" fillId="0" borderId="0" xfId="3" applyFont="1" applyAlignment="1">
      <alignment horizontal="center" vertical="top" wrapText="1"/>
    </xf>
    <xf numFmtId="0" fontId="7" fillId="5" borderId="0" xfId="5" applyFont="1" applyAlignment="1">
      <alignment horizontal="center" vertical="center" wrapText="1"/>
    </xf>
    <xf numFmtId="0" fontId="11" fillId="0" borderId="0" xfId="3" applyFont="1" applyAlignment="1">
      <alignment horizontal="center" wrapText="1"/>
    </xf>
    <xf numFmtId="0" fontId="3" fillId="8" borderId="0" xfId="2" applyFill="1" applyAlignment="1">
      <alignment horizontal="center" vertical="center"/>
    </xf>
    <xf numFmtId="0" fontId="2" fillId="9" borderId="0" xfId="1" applyFill="1" applyAlignment="1">
      <alignment horizontal="center" vertical="center"/>
    </xf>
    <xf numFmtId="0" fontId="8" fillId="12" borderId="0" xfId="0" applyFont="1" applyFill="1" applyAlignment="1">
      <alignment horizontal="center" vertical="center"/>
    </xf>
    <xf numFmtId="0" fontId="19" fillId="12" borderId="0" xfId="0" applyFont="1" applyFill="1" applyAlignment="1">
      <alignment horizontal="center" vertical="center"/>
    </xf>
    <xf numFmtId="0" fontId="12" fillId="8" borderId="0" xfId="2" applyFont="1" applyFill="1" applyAlignment="1">
      <alignment horizontal="center" vertical="center" wrapText="1"/>
    </xf>
    <xf numFmtId="0" fontId="1" fillId="10" borderId="0" xfId="8" applyAlignment="1">
      <alignment horizontal="center"/>
    </xf>
    <xf numFmtId="0" fontId="10" fillId="7" borderId="0" xfId="7" applyFont="1" applyAlignment="1" applyProtection="1">
      <alignment horizontal="center" vertical="center"/>
      <protection locked="0"/>
    </xf>
    <xf numFmtId="0" fontId="10" fillId="7" borderId="0" xfId="7" applyFont="1" applyAlignment="1" applyProtection="1">
      <alignment horizontal="center"/>
      <protection locked="0"/>
    </xf>
    <xf numFmtId="0" fontId="15" fillId="18" borderId="0" xfId="8" applyFont="1" applyFill="1" applyBorder="1" applyProtection="1">
      <protection locked="0"/>
    </xf>
    <xf numFmtId="0" fontId="10" fillId="7" borderId="0" xfId="7" applyFont="1" applyProtection="1">
      <protection locked="0"/>
    </xf>
    <xf numFmtId="0" fontId="10" fillId="13" borderId="0" xfId="7" applyFont="1" applyFill="1" applyProtection="1">
      <protection locked="0"/>
    </xf>
    <xf numFmtId="0" fontId="10" fillId="14" borderId="0" xfId="7" applyFont="1" applyFill="1" applyProtection="1">
      <protection locked="0"/>
    </xf>
  </cellXfs>
  <cellStyles count="11">
    <cellStyle name="20% - تمييز1" xfId="8" builtinId="30"/>
    <cellStyle name="20% - تمييز2" xfId="4" builtinId="34"/>
    <cellStyle name="20% - تمييز3" xfId="5" builtinId="38"/>
    <cellStyle name="20% - تمييز4" xfId="6" builtinId="42"/>
    <cellStyle name="20% - تمييز5" xfId="7" builtinId="46"/>
    <cellStyle name="20% - تمييز6" xfId="9" builtinId="50"/>
    <cellStyle name="جيد" xfId="1" builtinId="26"/>
    <cellStyle name="سيئ" xfId="2" builtinId="27"/>
    <cellStyle name="عادي" xfId="0" builtinId="0"/>
    <cellStyle name="محايد" xfId="10" builtinId="28"/>
    <cellStyle name="نص توضيحي" xfId="3" builtinId="53"/>
  </cellStyles>
  <dxfs count="0"/>
  <tableStyles count="0" defaultTableStyle="TableStyleMedium2" defaultPivotStyle="PivotStyleLight16"/>
  <colors>
    <mruColors>
      <color rgb="FFEBF4FB"/>
      <color rgb="FFE0EDF8"/>
      <color rgb="FFC5DDF1"/>
      <color rgb="FFE4F8E8"/>
      <color rgb="FFFFEBEE"/>
      <color rgb="FF7F7F7F"/>
      <color rgb="FFFFEB9C"/>
      <color rgb="FFFCE4D6"/>
      <color rgb="FF99C4E7"/>
      <color rgb="FFFFD9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76F2D-2E70-43AC-B987-17843EEF52B2}">
  <dimension ref="A3:O116"/>
  <sheetViews>
    <sheetView tabSelected="1" zoomScale="85" zoomScaleNormal="85" workbookViewId="0">
      <selection activeCell="D7" sqref="D7"/>
    </sheetView>
  </sheetViews>
  <sheetFormatPr defaultRowHeight="14.4" x14ac:dyDescent="0.3"/>
  <cols>
    <col min="1" max="1" width="11.6640625" customWidth="1"/>
    <col min="2" max="2" width="24.44140625" customWidth="1"/>
    <col min="3" max="3" width="25.44140625" customWidth="1"/>
    <col min="4" max="4" width="27.44140625" customWidth="1"/>
    <col min="5" max="5" width="26.5546875" customWidth="1"/>
    <col min="6" max="6" width="21.77734375" customWidth="1"/>
    <col min="7" max="7" width="27.33203125" customWidth="1"/>
    <col min="8" max="8" width="27.77734375" customWidth="1"/>
    <col min="9" max="9" width="22.77734375" customWidth="1"/>
    <col min="10" max="10" width="17.88671875" customWidth="1"/>
    <col min="11" max="11" width="18.88671875" customWidth="1"/>
    <col min="12" max="12" width="18.21875" customWidth="1"/>
    <col min="13" max="13" width="17.44140625" customWidth="1"/>
    <col min="14" max="14" width="17.21875" customWidth="1"/>
  </cols>
  <sheetData>
    <row r="3" spans="1:13" ht="14.55" customHeight="1" x14ac:dyDescent="0.3">
      <c r="A3" s="55" t="s">
        <v>100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x14ac:dyDescent="0.3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</row>
    <row r="7" spans="1:13" ht="18" x14ac:dyDescent="0.3">
      <c r="C7" s="13" t="s">
        <v>23</v>
      </c>
      <c r="D7" s="73"/>
    </row>
    <row r="10" spans="1:13" s="1" customFormat="1" ht="63.45" customHeight="1" x14ac:dyDescent="0.3">
      <c r="A10" s="6"/>
      <c r="B10" s="2" t="s">
        <v>0</v>
      </c>
      <c r="C10" s="4" t="s">
        <v>67</v>
      </c>
      <c r="D10" s="4" t="s">
        <v>68</v>
      </c>
      <c r="E10" s="4" t="s">
        <v>69</v>
      </c>
      <c r="F10" s="4" t="s">
        <v>70</v>
      </c>
      <c r="G10" s="4" t="s">
        <v>71</v>
      </c>
      <c r="H10" s="4" t="s">
        <v>72</v>
      </c>
      <c r="I10" s="7"/>
    </row>
    <row r="11" spans="1:13" x14ac:dyDescent="0.3">
      <c r="A11" s="44"/>
      <c r="B11" s="44"/>
      <c r="C11" s="44"/>
      <c r="D11" s="38"/>
      <c r="E11" s="44"/>
      <c r="F11" s="44"/>
      <c r="G11" s="44"/>
      <c r="H11" s="44"/>
    </row>
    <row r="12" spans="1:13" ht="15.6" x14ac:dyDescent="0.3">
      <c r="A12" s="71" t="s">
        <v>101</v>
      </c>
      <c r="B12" s="57" t="s">
        <v>4</v>
      </c>
      <c r="C12" s="58">
        <f xml:space="preserve"> 108 *D7</f>
        <v>0</v>
      </c>
      <c r="D12" s="58">
        <f xml:space="preserve"> 2.2 *D7</f>
        <v>0</v>
      </c>
      <c r="E12" s="8">
        <f xml:space="preserve"> 125 *D7</f>
        <v>0</v>
      </c>
      <c r="F12" s="9">
        <f xml:space="preserve"> 90*D7</f>
        <v>0</v>
      </c>
      <c r="G12" s="9">
        <f xml:space="preserve"> 2.5*D7</f>
        <v>0</v>
      </c>
      <c r="H12" s="9">
        <f xml:space="preserve"> 2*D7</f>
        <v>0</v>
      </c>
    </row>
    <row r="13" spans="1:13" ht="15.6" x14ac:dyDescent="0.3">
      <c r="A13" s="71"/>
      <c r="B13" s="57"/>
      <c r="C13" s="58"/>
      <c r="D13" s="58"/>
      <c r="E13" s="8">
        <f xml:space="preserve"> 160 *D7</f>
        <v>0</v>
      </c>
      <c r="F13" s="9">
        <f xml:space="preserve"> 120*D7</f>
        <v>0</v>
      </c>
      <c r="G13" s="9">
        <f xml:space="preserve"> 3.5*D7</f>
        <v>0</v>
      </c>
      <c r="H13" s="9">
        <f xml:space="preserve"> 2.5*D7</f>
        <v>0</v>
      </c>
    </row>
    <row r="14" spans="1:13" ht="15.6" x14ac:dyDescent="0.3">
      <c r="A14" s="71"/>
      <c r="B14" s="57" t="s">
        <v>5</v>
      </c>
      <c r="C14" s="58">
        <f xml:space="preserve"> 108 *D7</f>
        <v>0</v>
      </c>
      <c r="D14" s="58">
        <f xml:space="preserve"> 2.2 *D7</f>
        <v>0</v>
      </c>
      <c r="E14" s="8">
        <f xml:space="preserve"> 125 *D7</f>
        <v>0</v>
      </c>
      <c r="F14" s="9">
        <f xml:space="preserve"> 90*D7</f>
        <v>0</v>
      </c>
      <c r="G14" s="9">
        <f xml:space="preserve"> 2.5 *D7</f>
        <v>0</v>
      </c>
      <c r="H14" s="9">
        <f xml:space="preserve"> 2*D7</f>
        <v>0</v>
      </c>
    </row>
    <row r="15" spans="1:13" ht="15.6" x14ac:dyDescent="0.3">
      <c r="A15" s="71"/>
      <c r="B15" s="57"/>
      <c r="C15" s="58"/>
      <c r="D15" s="58"/>
      <c r="E15" s="8">
        <f xml:space="preserve"> 160 *D7</f>
        <v>0</v>
      </c>
      <c r="F15" s="9">
        <f xml:space="preserve"> 120*D7</f>
        <v>0</v>
      </c>
      <c r="G15" s="9">
        <f xml:space="preserve"> 3.5*D7</f>
        <v>0</v>
      </c>
      <c r="H15" s="9">
        <f xml:space="preserve"> 2.5*D7</f>
        <v>0</v>
      </c>
    </row>
    <row r="16" spans="1:13" ht="15.6" x14ac:dyDescent="0.3">
      <c r="A16" s="71"/>
      <c r="B16" s="57" t="s">
        <v>6</v>
      </c>
      <c r="C16" s="58">
        <f xml:space="preserve"> 98 *D7</f>
        <v>0</v>
      </c>
      <c r="D16" s="58">
        <f xml:space="preserve"> 1.6 *D7</f>
        <v>0</v>
      </c>
      <c r="E16" s="8">
        <f xml:space="preserve"> 130 *D7</f>
        <v>0</v>
      </c>
      <c r="F16" s="9">
        <f xml:space="preserve"> 90*D7</f>
        <v>0</v>
      </c>
      <c r="G16" s="9">
        <f xml:space="preserve"> 2.5*D7</f>
        <v>0</v>
      </c>
      <c r="H16" s="9">
        <f xml:space="preserve"> 2*D7</f>
        <v>0</v>
      </c>
    </row>
    <row r="17" spans="1:8" ht="15.6" x14ac:dyDescent="0.3">
      <c r="A17" s="71"/>
      <c r="B17" s="57"/>
      <c r="C17" s="58"/>
      <c r="D17" s="58"/>
      <c r="E17" s="8">
        <f xml:space="preserve"> 155 *D7</f>
        <v>0</v>
      </c>
      <c r="F17" s="9">
        <f xml:space="preserve"> 120*D7</f>
        <v>0</v>
      </c>
      <c r="G17" s="9">
        <f xml:space="preserve"> 3.5*D7</f>
        <v>0</v>
      </c>
      <c r="H17" s="9">
        <f xml:space="preserve"> 2.5*D7</f>
        <v>0</v>
      </c>
    </row>
    <row r="18" spans="1:8" ht="15.6" x14ac:dyDescent="0.3">
      <c r="A18" s="71"/>
      <c r="B18" s="57" t="s">
        <v>12</v>
      </c>
      <c r="C18" s="58">
        <f xml:space="preserve"> 98 * D7</f>
        <v>0</v>
      </c>
      <c r="D18" s="58">
        <f xml:space="preserve"> 1.6 *D7</f>
        <v>0</v>
      </c>
      <c r="E18" s="8">
        <f xml:space="preserve"> 130 *D7</f>
        <v>0</v>
      </c>
      <c r="F18" s="9">
        <f xml:space="preserve"> 90*D7</f>
        <v>0</v>
      </c>
      <c r="G18" s="9">
        <f xml:space="preserve"> 2.5*D7</f>
        <v>0</v>
      </c>
      <c r="H18" s="9">
        <f xml:space="preserve"> 2*D7</f>
        <v>0</v>
      </c>
    </row>
    <row r="19" spans="1:8" ht="15.6" x14ac:dyDescent="0.3">
      <c r="A19" s="71"/>
      <c r="B19" s="57"/>
      <c r="C19" s="58"/>
      <c r="D19" s="58"/>
      <c r="E19" s="8">
        <f xml:space="preserve"> 155 *D7</f>
        <v>0</v>
      </c>
      <c r="F19" s="9">
        <f xml:space="preserve"> 120*D7</f>
        <v>0</v>
      </c>
      <c r="G19" s="9">
        <f xml:space="preserve"> 3.5*D7</f>
        <v>0</v>
      </c>
      <c r="H19" s="9">
        <f xml:space="preserve"> 2.5*D7</f>
        <v>0</v>
      </c>
    </row>
    <row r="20" spans="1:8" ht="15.6" x14ac:dyDescent="0.3">
      <c r="A20" s="42"/>
      <c r="B20" s="42"/>
      <c r="C20" s="42"/>
      <c r="D20" s="42"/>
      <c r="E20" s="43"/>
      <c r="F20" s="42"/>
      <c r="G20" s="42"/>
      <c r="H20" s="42"/>
    </row>
    <row r="21" spans="1:8" ht="15.6" x14ac:dyDescent="0.3">
      <c r="A21" s="59" t="s">
        <v>1</v>
      </c>
      <c r="B21" s="59" t="s">
        <v>7</v>
      </c>
      <c r="C21" s="58">
        <f xml:space="preserve"> 102 *D7</f>
        <v>0</v>
      </c>
      <c r="D21" s="58">
        <f xml:space="preserve"> 1.2 *D7</f>
        <v>0</v>
      </c>
      <c r="E21" s="8">
        <f xml:space="preserve"> 115 *D7</f>
        <v>0</v>
      </c>
      <c r="F21" s="9">
        <f xml:space="preserve"> 80*D7</f>
        <v>0</v>
      </c>
      <c r="G21" s="9">
        <f xml:space="preserve"> 2*D7</f>
        <v>0</v>
      </c>
      <c r="H21" s="9">
        <f xml:space="preserve"> 1.75*D7</f>
        <v>0</v>
      </c>
    </row>
    <row r="22" spans="1:8" ht="15.6" x14ac:dyDescent="0.3">
      <c r="A22" s="59"/>
      <c r="B22" s="59"/>
      <c r="C22" s="58"/>
      <c r="D22" s="58"/>
      <c r="E22" s="8">
        <f xml:space="preserve"> 235 *D7</f>
        <v>0</v>
      </c>
      <c r="F22" s="9">
        <f xml:space="preserve"> 90*D7</f>
        <v>0</v>
      </c>
      <c r="G22" s="9">
        <f xml:space="preserve"> 2.5*D7</f>
        <v>0</v>
      </c>
      <c r="H22" s="9">
        <f xml:space="preserve"> 2*D7</f>
        <v>0</v>
      </c>
    </row>
    <row r="23" spans="1:8" ht="15.6" x14ac:dyDescent="0.3">
      <c r="A23" s="59"/>
      <c r="B23" s="59" t="s">
        <v>8</v>
      </c>
      <c r="C23" s="58">
        <f xml:space="preserve"> 90 *D7</f>
        <v>0</v>
      </c>
      <c r="D23" s="58">
        <f xml:space="preserve"> 1.1 *D7</f>
        <v>0</v>
      </c>
      <c r="E23" s="8">
        <f xml:space="preserve"> 100 *D7</f>
        <v>0</v>
      </c>
      <c r="F23" s="9">
        <f xml:space="preserve"> 70*D7</f>
        <v>0</v>
      </c>
      <c r="G23" s="9">
        <f xml:space="preserve"> 2*D7</f>
        <v>0</v>
      </c>
      <c r="H23" s="9">
        <f xml:space="preserve"> 1.75*D7</f>
        <v>0</v>
      </c>
    </row>
    <row r="24" spans="1:8" ht="15.6" x14ac:dyDescent="0.3">
      <c r="A24" s="59"/>
      <c r="B24" s="59"/>
      <c r="C24" s="58"/>
      <c r="D24" s="58"/>
      <c r="E24" s="8">
        <f xml:space="preserve"> 125 *D7</f>
        <v>0</v>
      </c>
      <c r="F24" s="9">
        <f xml:space="preserve"> 85*D7</f>
        <v>0</v>
      </c>
      <c r="G24" s="9">
        <f xml:space="preserve"> 2.5*D7</f>
        <v>0</v>
      </c>
      <c r="H24" s="9">
        <f xml:space="preserve"> 2*D7</f>
        <v>0</v>
      </c>
    </row>
    <row r="25" spans="1:8" ht="18" x14ac:dyDescent="0.3">
      <c r="A25" s="59"/>
      <c r="B25" s="59" t="s">
        <v>9</v>
      </c>
      <c r="C25" s="58">
        <f xml:space="preserve"> 70 *D7</f>
        <v>0</v>
      </c>
      <c r="D25" s="58">
        <f xml:space="preserve"> 1 *D7</f>
        <v>0</v>
      </c>
      <c r="E25" s="8">
        <f xml:space="preserve"> 70 *D7</f>
        <v>0</v>
      </c>
      <c r="F25" s="9">
        <f xml:space="preserve"> 55*D7</f>
        <v>0</v>
      </c>
      <c r="G25" s="22" t="s">
        <v>25</v>
      </c>
      <c r="H25" s="22" t="s">
        <v>26</v>
      </c>
    </row>
    <row r="26" spans="1:8" ht="15.6" x14ac:dyDescent="0.3">
      <c r="A26" s="59"/>
      <c r="B26" s="59"/>
      <c r="C26" s="58"/>
      <c r="D26" s="58"/>
      <c r="E26" s="8">
        <f xml:space="preserve"> 85*D7</f>
        <v>0</v>
      </c>
      <c r="F26" s="9">
        <f xml:space="preserve"> 70*D7</f>
        <v>0</v>
      </c>
      <c r="G26" s="58">
        <f xml:space="preserve"> 1.5*D7</f>
        <v>0</v>
      </c>
      <c r="H26" s="58">
        <f xml:space="preserve"> 1*D7</f>
        <v>0</v>
      </c>
    </row>
    <row r="27" spans="1:8" ht="15.6" x14ac:dyDescent="0.3">
      <c r="A27" s="10"/>
      <c r="B27" s="10"/>
      <c r="C27" s="10"/>
      <c r="D27" s="10"/>
      <c r="E27" s="11"/>
      <c r="F27" s="10"/>
      <c r="G27" s="58"/>
      <c r="H27" s="58"/>
    </row>
    <row r="28" spans="1:8" ht="15.6" x14ac:dyDescent="0.3">
      <c r="A28" s="60" t="s">
        <v>2</v>
      </c>
      <c r="B28" s="60" t="s">
        <v>11</v>
      </c>
      <c r="C28" s="58">
        <f xml:space="preserve">  55 * D7</f>
        <v>0</v>
      </c>
      <c r="D28" s="58">
        <f xml:space="preserve"> 1 *D7</f>
        <v>0</v>
      </c>
      <c r="E28" s="8">
        <f xml:space="preserve"> 70*D7</f>
        <v>0</v>
      </c>
      <c r="F28" s="9">
        <f xml:space="preserve"> 45*D7</f>
        <v>0</v>
      </c>
      <c r="G28" s="58"/>
      <c r="H28" s="58"/>
    </row>
    <row r="29" spans="1:8" ht="15.6" x14ac:dyDescent="0.3">
      <c r="A29" s="60"/>
      <c r="B29" s="60"/>
      <c r="C29" s="58"/>
      <c r="D29" s="58"/>
      <c r="E29" s="8">
        <f xml:space="preserve"> 85*D7</f>
        <v>0</v>
      </c>
      <c r="F29" s="9">
        <f xml:space="preserve"> 55*D7</f>
        <v>0</v>
      </c>
      <c r="G29" s="58"/>
      <c r="H29" s="58"/>
    </row>
    <row r="30" spans="1:8" ht="15.6" x14ac:dyDescent="0.3">
      <c r="A30" s="60"/>
      <c r="B30" s="60" t="s">
        <v>10</v>
      </c>
      <c r="C30" s="58">
        <f xml:space="preserve"> 45 *D7</f>
        <v>0</v>
      </c>
      <c r="D30" s="58">
        <f xml:space="preserve"> 0.9 *D7</f>
        <v>0</v>
      </c>
      <c r="E30" s="8">
        <f xml:space="preserve"> 50*D7</f>
        <v>0</v>
      </c>
      <c r="F30" s="9">
        <f xml:space="preserve"> 35*D7</f>
        <v>0</v>
      </c>
      <c r="G30" s="58"/>
      <c r="H30" s="58"/>
    </row>
    <row r="31" spans="1:8" ht="15.6" x14ac:dyDescent="0.3">
      <c r="A31" s="60"/>
      <c r="B31" s="60"/>
      <c r="C31" s="58"/>
      <c r="D31" s="58"/>
      <c r="E31" s="8">
        <f xml:space="preserve"> 60*D7</f>
        <v>0</v>
      </c>
      <c r="F31" s="9">
        <f xml:space="preserve"> 45*D7</f>
        <v>0</v>
      </c>
      <c r="G31" s="58">
        <f xml:space="preserve"> 2*D7</f>
        <v>0</v>
      </c>
      <c r="H31" s="58">
        <f xml:space="preserve"> 1.5*D7</f>
        <v>0</v>
      </c>
    </row>
    <row r="32" spans="1:8" ht="15.6" x14ac:dyDescent="0.3">
      <c r="A32" s="12"/>
      <c r="B32" s="60" t="s">
        <v>11</v>
      </c>
      <c r="C32" s="58">
        <f xml:space="preserve"> 47 *D7</f>
        <v>0</v>
      </c>
      <c r="D32" s="58">
        <f xml:space="preserve"> 1 *D7</f>
        <v>0</v>
      </c>
      <c r="E32" s="8">
        <f xml:space="preserve"> 70*D7</f>
        <v>0</v>
      </c>
      <c r="F32" s="9">
        <f xml:space="preserve"> 45*D7</f>
        <v>0</v>
      </c>
      <c r="G32" s="58"/>
      <c r="H32" s="58"/>
    </row>
    <row r="33" spans="1:14" ht="15.6" x14ac:dyDescent="0.3">
      <c r="A33" s="60" t="s">
        <v>3</v>
      </c>
      <c r="B33" s="60"/>
      <c r="C33" s="58"/>
      <c r="D33" s="58"/>
      <c r="E33" s="8">
        <f xml:space="preserve"> 85*D7</f>
        <v>0</v>
      </c>
      <c r="F33" s="9">
        <f xml:space="preserve"> 55*D7</f>
        <v>0</v>
      </c>
      <c r="G33" s="58"/>
      <c r="H33" s="58"/>
    </row>
    <row r="34" spans="1:14" ht="15.6" x14ac:dyDescent="0.3">
      <c r="A34" s="60"/>
      <c r="B34" s="60" t="s">
        <v>10</v>
      </c>
      <c r="C34" s="58">
        <f xml:space="preserve"> 40 * D7</f>
        <v>0</v>
      </c>
      <c r="D34" s="58">
        <f xml:space="preserve"> 0.8 *D7</f>
        <v>0</v>
      </c>
      <c r="E34" s="8">
        <f xml:space="preserve"> 50*D7</f>
        <v>0</v>
      </c>
      <c r="F34" s="9">
        <f xml:space="preserve"> 35*D7</f>
        <v>0</v>
      </c>
      <c r="G34" s="58"/>
      <c r="H34" s="58"/>
    </row>
    <row r="35" spans="1:14" ht="15.6" x14ac:dyDescent="0.3">
      <c r="A35" s="60"/>
      <c r="B35" s="60"/>
      <c r="C35" s="58"/>
      <c r="D35" s="58"/>
      <c r="E35" s="8">
        <f xml:space="preserve"> 60*D7</f>
        <v>0</v>
      </c>
      <c r="F35" s="9">
        <f xml:space="preserve"> 45*D7</f>
        <v>0</v>
      </c>
      <c r="G35" s="58"/>
      <c r="H35" s="58"/>
    </row>
    <row r="38" spans="1:14" ht="14.55" customHeight="1" x14ac:dyDescent="0.3">
      <c r="A38" s="56" t="s">
        <v>77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</row>
    <row r="39" spans="1:14" ht="19.5" customHeight="1" x14ac:dyDescent="0.3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</row>
    <row r="41" spans="1:14" ht="36" customHeight="1" x14ac:dyDescent="0.35">
      <c r="B41" s="34" t="s">
        <v>78</v>
      </c>
      <c r="C41" s="34" t="s">
        <v>82</v>
      </c>
      <c r="D41" s="34" t="s">
        <v>83</v>
      </c>
    </row>
    <row r="42" spans="1:14" ht="18" x14ac:dyDescent="0.35">
      <c r="B42" s="45" t="s">
        <v>79</v>
      </c>
      <c r="C42" s="46" t="s">
        <v>87</v>
      </c>
      <c r="D42" s="45" t="s">
        <v>89</v>
      </c>
    </row>
    <row r="43" spans="1:14" ht="18" x14ac:dyDescent="0.35">
      <c r="B43" s="45" t="s">
        <v>80</v>
      </c>
      <c r="C43" s="46" t="s">
        <v>88</v>
      </c>
      <c r="D43" s="45" t="s">
        <v>90</v>
      </c>
    </row>
    <row r="44" spans="1:14" ht="14.55" customHeight="1" x14ac:dyDescent="0.35">
      <c r="B44" s="45" t="s">
        <v>81</v>
      </c>
      <c r="C44" s="47" t="s">
        <v>95</v>
      </c>
      <c r="D44" s="45" t="s">
        <v>94</v>
      </c>
    </row>
    <row r="45" spans="1:14" ht="14.4" customHeight="1" x14ac:dyDescent="0.35">
      <c r="B45" s="40" t="s">
        <v>84</v>
      </c>
      <c r="C45" s="41" t="s">
        <v>96</v>
      </c>
      <c r="D45" s="40" t="s">
        <v>91</v>
      </c>
    </row>
    <row r="46" spans="1:14" ht="18" x14ac:dyDescent="0.35">
      <c r="B46" s="40" t="s">
        <v>85</v>
      </c>
      <c r="C46" s="41" t="s">
        <v>97</v>
      </c>
      <c r="D46" s="40" t="s">
        <v>92</v>
      </c>
    </row>
    <row r="47" spans="1:14" ht="18" x14ac:dyDescent="0.35">
      <c r="A47" s="15"/>
      <c r="B47" s="40" t="s">
        <v>86</v>
      </c>
      <c r="C47" s="41" t="s">
        <v>98</v>
      </c>
      <c r="D47" s="40" t="s">
        <v>93</v>
      </c>
    </row>
    <row r="49" spans="1:14" ht="14.55" customHeight="1" x14ac:dyDescent="0.3">
      <c r="A49" s="55" t="s">
        <v>13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</row>
    <row r="50" spans="1:14" ht="14.55" customHeight="1" x14ac:dyDescent="0.3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</row>
    <row r="53" spans="1:14" ht="18" x14ac:dyDescent="0.35">
      <c r="C53" s="14" t="s">
        <v>23</v>
      </c>
      <c r="D53" s="74"/>
    </row>
    <row r="56" spans="1:14" ht="18" x14ac:dyDescent="0.35">
      <c r="B56" s="66" t="s">
        <v>73</v>
      </c>
      <c r="C56" s="66"/>
      <c r="D56" s="5" t="s">
        <v>74</v>
      </c>
      <c r="E56" s="64" t="s">
        <v>75</v>
      </c>
    </row>
    <row r="57" spans="1:14" ht="14.55" customHeight="1" x14ac:dyDescent="0.35">
      <c r="B57" s="4" t="s">
        <v>16</v>
      </c>
      <c r="C57" s="4" t="s">
        <v>17</v>
      </c>
      <c r="D57" s="3" t="s">
        <v>18</v>
      </c>
      <c r="E57" s="64"/>
    </row>
    <row r="58" spans="1:14" x14ac:dyDescent="0.3">
      <c r="A58" s="67" t="s">
        <v>14</v>
      </c>
      <c r="B58" s="18">
        <f xml:space="preserve"> 105 *D53</f>
        <v>0</v>
      </c>
      <c r="C58" s="67">
        <f>50 *D53</f>
        <v>0</v>
      </c>
      <c r="D58" s="19">
        <f>3*D53</f>
        <v>0</v>
      </c>
      <c r="E58" s="19">
        <f>150 *D53</f>
        <v>0</v>
      </c>
    </row>
    <row r="59" spans="1:14" x14ac:dyDescent="0.3">
      <c r="A59" s="67"/>
      <c r="B59" s="18">
        <f>130 *D53</f>
        <v>0</v>
      </c>
      <c r="C59" s="67"/>
      <c r="D59" s="19">
        <f>4*D53</f>
        <v>0</v>
      </c>
      <c r="E59" s="19">
        <f>200 *D53</f>
        <v>0</v>
      </c>
    </row>
    <row r="60" spans="1:14" x14ac:dyDescent="0.3">
      <c r="A60" s="68" t="s">
        <v>15</v>
      </c>
      <c r="B60" s="20">
        <f>90 *D53</f>
        <v>0</v>
      </c>
      <c r="C60" s="20">
        <f>30 *D53</f>
        <v>0</v>
      </c>
      <c r="D60" s="21">
        <f>2.5 *D53</f>
        <v>0</v>
      </c>
      <c r="E60" s="21">
        <f>120 *D53</f>
        <v>0</v>
      </c>
    </row>
    <row r="61" spans="1:14" x14ac:dyDescent="0.3">
      <c r="A61" s="68"/>
      <c r="B61" s="20">
        <f>100 *D53</f>
        <v>0</v>
      </c>
      <c r="C61" s="20">
        <f>50 *D53</f>
        <v>0</v>
      </c>
      <c r="D61" s="21">
        <f>3.8 *D53</f>
        <v>0</v>
      </c>
      <c r="E61" s="21">
        <f>150 *D53</f>
        <v>0</v>
      </c>
    </row>
    <row r="62" spans="1:14" ht="15.6" x14ac:dyDescent="0.3">
      <c r="A62" s="15"/>
      <c r="B62" s="65" t="s">
        <v>24</v>
      </c>
      <c r="C62" s="16"/>
      <c r="D62" s="17" t="s">
        <v>19</v>
      </c>
      <c r="E62" s="17" t="s">
        <v>21</v>
      </c>
    </row>
    <row r="63" spans="1:14" ht="15.6" x14ac:dyDescent="0.3">
      <c r="A63" s="15"/>
      <c r="B63" s="65"/>
      <c r="C63" s="16"/>
      <c r="D63" s="8">
        <f>2.5*D53</f>
        <v>0</v>
      </c>
      <c r="E63" s="8">
        <f>10 *D53</f>
        <v>0</v>
      </c>
    </row>
    <row r="64" spans="1:14" ht="14.4" customHeight="1" x14ac:dyDescent="0.3">
      <c r="A64" s="15"/>
      <c r="B64" s="65"/>
      <c r="C64" s="16"/>
      <c r="D64" s="8">
        <f>2.8*D53</f>
        <v>0</v>
      </c>
      <c r="E64" s="8">
        <f>20 *D53</f>
        <v>0</v>
      </c>
    </row>
    <row r="65" spans="1:14" ht="14.4" customHeight="1" x14ac:dyDescent="0.3">
      <c r="A65" s="15"/>
      <c r="B65" s="65"/>
      <c r="C65" s="16"/>
      <c r="D65" s="17" t="s">
        <v>20</v>
      </c>
      <c r="E65" s="17" t="s">
        <v>22</v>
      </c>
    </row>
    <row r="66" spans="1:14" ht="15.6" x14ac:dyDescent="0.3">
      <c r="A66" s="15"/>
      <c r="B66" s="65"/>
      <c r="C66" s="15"/>
      <c r="D66" s="8">
        <f>2.25*D53</f>
        <v>0</v>
      </c>
      <c r="E66" s="8">
        <f>140 *D53</f>
        <v>0</v>
      </c>
    </row>
    <row r="67" spans="1:14" ht="15.6" x14ac:dyDescent="0.3">
      <c r="A67" s="15"/>
      <c r="B67" s="15"/>
      <c r="C67" s="15"/>
      <c r="D67" s="8">
        <f>5*D53</f>
        <v>0</v>
      </c>
      <c r="E67" s="8">
        <f>160 *D53</f>
        <v>0</v>
      </c>
    </row>
    <row r="69" spans="1:14" ht="15.45" customHeight="1" x14ac:dyDescent="0.3">
      <c r="A69" s="54" t="s">
        <v>99</v>
      </c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</row>
    <row r="70" spans="1:14" ht="13.95" customHeight="1" x14ac:dyDescent="0.3">
      <c r="A70" s="54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</row>
    <row r="71" spans="1:14" ht="25.8" customHeight="1" x14ac:dyDescent="0.3"/>
    <row r="72" spans="1:14" ht="19.5" customHeight="1" x14ac:dyDescent="0.35">
      <c r="C72" s="53" t="s">
        <v>32</v>
      </c>
      <c r="D72" s="75"/>
    </row>
    <row r="74" spans="1:14" ht="15.6" x14ac:dyDescent="0.3">
      <c r="D74" s="26" t="s">
        <v>44</v>
      </c>
    </row>
    <row r="75" spans="1:14" ht="15.6" x14ac:dyDescent="0.3">
      <c r="B75" s="61" t="s">
        <v>30</v>
      </c>
      <c r="C75" s="48" t="s">
        <v>34</v>
      </c>
      <c r="D75" s="48">
        <f>16.1*D72</f>
        <v>0</v>
      </c>
      <c r="E75" s="24"/>
    </row>
    <row r="76" spans="1:14" ht="18.600000000000001" customHeight="1" x14ac:dyDescent="0.3">
      <c r="B76" s="61"/>
      <c r="C76" s="48" t="s">
        <v>33</v>
      </c>
      <c r="D76" s="48">
        <f>14.3*D72</f>
        <v>0</v>
      </c>
      <c r="E76" s="23"/>
    </row>
    <row r="77" spans="1:14" ht="46.8" x14ac:dyDescent="0.3">
      <c r="B77" s="52" t="s">
        <v>27</v>
      </c>
      <c r="C77" s="52" t="s">
        <v>35</v>
      </c>
      <c r="D77" s="52" t="s">
        <v>36</v>
      </c>
      <c r="E77" s="25"/>
    </row>
    <row r="78" spans="1:14" ht="15.6" x14ac:dyDescent="0.3">
      <c r="B78" s="62" t="s">
        <v>29</v>
      </c>
      <c r="C78" s="49" t="s">
        <v>37</v>
      </c>
      <c r="D78" s="50">
        <f>13.9*D72</f>
        <v>0</v>
      </c>
    </row>
    <row r="79" spans="1:14" ht="15.6" x14ac:dyDescent="0.3">
      <c r="B79" s="62"/>
      <c r="C79" s="50" t="s">
        <v>38</v>
      </c>
      <c r="D79" s="50">
        <f>11.1*D72</f>
        <v>0</v>
      </c>
    </row>
    <row r="80" spans="1:14" ht="15.6" x14ac:dyDescent="0.3">
      <c r="B80" s="62"/>
      <c r="C80" s="50" t="s">
        <v>39</v>
      </c>
      <c r="D80" s="50" t="s">
        <v>76</v>
      </c>
    </row>
    <row r="81" spans="1:14" ht="14.55" customHeight="1" x14ac:dyDescent="0.3">
      <c r="B81" s="63" t="s">
        <v>31</v>
      </c>
      <c r="C81" s="51" t="s">
        <v>28</v>
      </c>
      <c r="D81" s="51" t="s">
        <v>40</v>
      </c>
    </row>
    <row r="82" spans="1:14" ht="14.55" customHeight="1" x14ac:dyDescent="0.3">
      <c r="B82" s="63"/>
      <c r="C82" s="51" t="s">
        <v>41</v>
      </c>
      <c r="D82" s="51">
        <f>7*D72</f>
        <v>0</v>
      </c>
    </row>
    <row r="83" spans="1:14" ht="15.6" x14ac:dyDescent="0.3">
      <c r="B83" s="63"/>
      <c r="C83" s="51" t="s">
        <v>42</v>
      </c>
      <c r="D83" s="51" t="s">
        <v>43</v>
      </c>
    </row>
    <row r="86" spans="1:14" ht="14.55" customHeight="1" x14ac:dyDescent="0.3">
      <c r="A86" s="69" t="s">
        <v>57</v>
      </c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</row>
    <row r="87" spans="1:14" ht="14.55" customHeight="1" x14ac:dyDescent="0.3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</row>
    <row r="89" spans="1:14" ht="18" x14ac:dyDescent="0.35">
      <c r="A89" s="15"/>
      <c r="B89" s="15"/>
      <c r="C89" s="27" t="s">
        <v>65</v>
      </c>
      <c r="D89" s="76"/>
      <c r="E89" s="15"/>
      <c r="F89" s="15"/>
      <c r="G89" s="15"/>
      <c r="H89" s="15"/>
      <c r="I89" s="15"/>
      <c r="J89" s="15"/>
      <c r="K89" s="15"/>
      <c r="L89" s="15"/>
      <c r="M89" s="15"/>
    </row>
    <row r="90" spans="1:14" ht="18" x14ac:dyDescent="0.35">
      <c r="A90" s="15"/>
      <c r="B90" s="15"/>
      <c r="C90" s="28" t="s">
        <v>23</v>
      </c>
      <c r="D90" s="77"/>
      <c r="E90" s="15"/>
      <c r="F90" s="15"/>
      <c r="G90" s="15"/>
      <c r="H90" s="15"/>
      <c r="I90" s="15"/>
      <c r="J90" s="15"/>
      <c r="K90" s="15"/>
      <c r="L90" s="15"/>
      <c r="M90" s="15"/>
    </row>
    <row r="91" spans="1:14" ht="18" x14ac:dyDescent="0.35">
      <c r="A91" s="15"/>
      <c r="B91" s="15"/>
      <c r="C91" s="29" t="s">
        <v>63</v>
      </c>
      <c r="D91" s="78"/>
      <c r="E91" s="15"/>
      <c r="F91" s="15"/>
      <c r="G91" s="15"/>
      <c r="H91" s="15"/>
      <c r="I91" s="15"/>
      <c r="J91" s="15"/>
      <c r="K91" s="15"/>
      <c r="L91" s="15"/>
      <c r="M91" s="15"/>
    </row>
    <row r="92" spans="1:14" ht="15.6" x14ac:dyDescent="0.3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</row>
    <row r="93" spans="1:14" ht="15.6" x14ac:dyDescent="0.3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</row>
    <row r="94" spans="1:14" ht="15.6" x14ac:dyDescent="0.3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</row>
    <row r="95" spans="1:14" ht="18" x14ac:dyDescent="0.35">
      <c r="A95" s="34"/>
      <c r="B95" s="34" t="s">
        <v>45</v>
      </c>
      <c r="C95" s="34" t="s">
        <v>46</v>
      </c>
      <c r="D95" s="34" t="s">
        <v>47</v>
      </c>
      <c r="E95" s="34" t="s">
        <v>48</v>
      </c>
      <c r="F95" s="34"/>
      <c r="G95" s="34"/>
      <c r="H95" s="34" t="s">
        <v>52</v>
      </c>
      <c r="I95" s="34" t="s">
        <v>53</v>
      </c>
      <c r="J95" s="34" t="s">
        <v>54</v>
      </c>
      <c r="K95" s="34" t="s">
        <v>59</v>
      </c>
      <c r="L95" s="34" t="s">
        <v>60</v>
      </c>
      <c r="M95" s="34" t="s">
        <v>61</v>
      </c>
      <c r="N95" s="34" t="s">
        <v>66</v>
      </c>
    </row>
    <row r="96" spans="1:14" ht="14.55" customHeight="1" x14ac:dyDescent="0.3">
      <c r="A96" s="30" t="s">
        <v>49</v>
      </c>
      <c r="B96" s="30" t="b">
        <f>IF(AND(D89=1,D90&lt;3.4),"&lt; 5th",IF(AND(D89=1,D90=3.4),"On 5th",IF(AND(D89=1,D90&gt;3.4,D90&lt;3.6),"5th-10th",IF(AND(D89=1,D90=3.6),"On 10th",IF(AND(D89=1,D90&gt;3.6,D90&lt;5.2),"10th-90th",IF(AND(D89=1,D90=5.2),"On 90th",IF(AND(D89=1,D90&gt;5.2,D90&lt;5.4),"90th-95th",IF(AND(D89=1,D90=5.4),"On 95th",IF(AND(D89=1,D90&gt;5.4),"&gt; 95th",IF(AND(D89=2,D90&lt;4.1),"&lt; 5th",IF(AND(D89=2,D90=4.1),"On 5th",IF(AND(D89=2,D90&gt;4.1,D90&lt;4.4),"5th-10th",IF(AND(D89=2,D90=4.4),"On 10th",IF(AND(D89=2,D90&gt;4.4,D90&lt;6.2),"10th-90th",IF(AND(D89=2,D90=6.2),"On 90th",IF(AND(D89=2,D90&gt;6.2,D90&lt;6.4),"90th-95th",IF(AND(D89=2,D90=6.4),"On 95th",IF(AND(D89=2,D90&gt;6.4),"&gt; 95th",IF(AND(D89=3,D90&lt;4.8),"&lt; 5th",IF(AND(D89=3,D90=4.8),"On 5th",IF(AND(D89=3,D90&gt;4.8,D90&lt;5.1),"5th-10th",IF(AND(D89=3,D90=5.1),"On 10th",IF(AND(D89=3,D90&gt;5.1,D90&lt;7.1),"10th-90th",IF(AND(D89=3,D90=7.1),"On 90th",IF(AND(D89=3,D90&gt;7.1,D90&lt;7.3),"90th-95th",IF(AND(D89=3,D90=7.3),"On 95th",IF(AND(D89=3,D90&gt;7.3),"&gt; 95th",IF(AND(D89=4,D90&lt;5.4),"&lt; 5th",IF(AND(D89=4,D90=5.4),"On 5th",IF(AND(D89=4,D90&gt;5.4,D90&lt;5.7),"5th-10th",IF(AND(D89=4,D90=5.7),"On 10th",IF(AND(D89=4,D90&gt;5.7,D90&lt;7.8),"10th-90th",IF(AND(D89=4,D90=7.8),"On 90th",IF(AND(D89=4,D90&gt;7.8,D90&lt;8.2),"90th-95th",IF(AND(D89=4,D90=8.2),"On 95th",IF(AND(D89=4,D90&gt;8.2),"&gt; 95th",IF(AND(D89=5,D90&lt;6),"&lt; 5th",IF(AND(D89=5,D90=6),"On 5th",IF(AND(D89=5,D90&gt;6,D90&lt;6.3),"5th-10th",IF(AND(D89=5,D90=6.3),"On 10th",IF(AND(D89=5,D90&gt;6.3,D90&lt;8.5),"10th-90th",IF(AND(D89=5,D90=8.5),"On 90th",IF(AND(D89=5,D90&gt;8.5,D90&lt;8.9),"90th-95th",IF(AND(D89=5,D90=8.9),"On 95th",IF(AND(D89=5,D90&gt;8.9),"&gt; 95th",IF(AND(D89=6,D90&lt;6.5),"&lt; 5th",IF(AND(D89=6,D90=6.5),"On 5th",IF(AND(D89=6,D90&gt;6.5,D90&lt;6.8),"5th-10th",IF(AND(D89=6,D90=6.8),"On 10th",IF(AND(D89=6,D90&gt;6.8,D90&lt;9.2),"10th-90th",IF(AND(D89=6,D90=9.2),"On 90th",IF(AND(D89=6,D90&gt;9.2,D90&lt;9.6),"90th-95th",IF(AND(D89=6,D90=9.6),"On 95th",IF(AND(D89=6,D90&gt;9.6),"&gt; 95th"))))))))))))))))))))))))))))))))))))))))))))))))))))))</f>
        <v>0</v>
      </c>
      <c r="C96" s="30" t="b">
        <f>IF(AND(D89=7,D90&lt;7),"&lt; 5th",IF(AND(D89=7,D90=7),"On 5th",IF(AND(D89=7,D90&gt;7,D90&lt;7.3),"5th-10th",IF(AND(D89=7,D90=7.3),"On 10th",IF(AND(D89=7,D90&gt;7.3,D90&lt;9.7),"10th-90th",IF(AND(D89=7,D90=9.7),"On 90th",IF(AND(D89=7,D90&gt;9.7,D90&lt;10.2),"90th-95th",IF(AND(D89=7,D90=10.2),"On 95th",IF(AND(D89=7,D90&gt;10.2),"&gt; 95th",IF(AND(D89=8,D90&lt;7.4),"&lt; 5th",IF(AND(D89=8,D90=7.4),"On 5th",IF(AND(D89=8,D90&gt;7.4,D90&lt;7.7),"5th-10th",IF(AND(D89=8,D90=7.7),"On 10th",IF(AND(D89=8,D90&gt;7.7,D90&lt;10.3),"10th-90th",IF(AND(D89=8,D90=10.3),"On 90th",IF(AND(D89=8,D90&gt;10.3,D90&lt;10.7),"90th-95th",IF(AND(D89=8,D90=10.7),"On 95th",IF(AND(D89=8,D90&gt;10.7),"&gt; 95th",IF(AND(D89=9,D90&lt;7.7),"&lt; 5th",IF(AND(D89=9,D90=7.7),"On 5th",IF(AND(D89=9,D90&gt;7.7,D90&lt;8),"5th-10th",IF(AND(D89=9,D90=8),"On 10th",IF(AND(D89=9,D90&gt;8,D90&lt;10.7),"10th-90th",IF(AND(D89=9,D90=10.7),"On 90th",IF(AND(D89=9,D90&gt;10.7,D90&lt;11.2),"90th-95th",IF(AND(D89=9,D90=11.2),"On 95th",IF(AND(D89=9,D90&gt;11.2),"&gt; 95th",IF(AND(D89=10,D90&lt;8.1),"&lt; 5th",IF(AND(D89=10,D90=8.1),"On 5th",IF(AND(D89=10,D90&gt;8.1,D90&lt;8.4),"5th-10th",IF(AND(D89=10,D90=8.4),"On 10th",IF(AND(D89=10,D90&gt;8.4,D90&lt;11.2),"10th-90th",IF(AND(D89=10,D90=11.2),"On 90th",IF(AND(D89=10,D90&gt;11.2,D90&lt;11.6),"90th-95th",IF(AND(D89=10,D90=11.6),"On 95th",IF(AND(D89=10,D90&gt;11.6),"&gt; 95th",IF(AND(D89=11,D90&lt;8.4),"&lt; 5th",IF(AND(D89=11,D90=8.4),"On 5th",IF(AND(D89=11,D90&gt;8.4,D90&lt;8.7),"5th-10th",IF(AND(D89=11,D90=8.7),"On 10th",IF(AND(D89=11,D90&gt;8.7,D90&lt;11.5),"10th-90th",IF(AND(D89=11,D90=11.5),"On 90th",IF(AND(D89=11,D90&gt;11.5,D90&lt;12),"90th-95th",IF(AND(D89=11,D90=12),"On 95th",IF(AND(D89=11,D90&gt;12),"&gt; 95th",IF(AND(D89=12,D90&lt;8.6),"&lt; 5th",IF(AND(D89=12,D90=8.6),"On 5th",IF(AND(D89=12,D90&gt;8.6,D90&lt;9),"5th-10th",IF(AND(D89=12,D90=9),"On 10th",IF(AND(D89=12,D90&gt;9,D90&lt;11.9),"10th-90th",IF(AND(D89=12,D90=11.9),"On 90th",IF(AND(D89=12,D90&gt;11.9,D90&lt;12.4),"90th-95th",IF(AND(D89=12,D90=12.4),"On 95th",IF(AND(D89=12,D90&gt;12.4),"&gt; 95th"))))))))))))))))))))))))))))))))))))))))))))))))))))))</f>
        <v>0</v>
      </c>
      <c r="D96" s="30" t="b">
        <f>IF(AND(D89=13,D90&lt;8.9),"&lt; 5th",IF(AND(D89=13,D90=8.9),"On 5th",IF(AND(D89=13,D90&gt;8.9,D90&lt;9.2),"5th-10th",IF(AND(D89=13,D90=9.2),"On 10th",IF(AND(D89=13,D90&gt;9.2,D90&lt;12.2),"10th-90th",IF(AND(D89=13,D90=12.2),"On 90th",IF(AND(D89=13,D90&gt;12.2,D90&lt;12.7),"90th-95th",IF(AND(D89=13,D90=12.7),"On 95th",IF(AND(D89=13,D90&gt;12.7),"&gt; 95th",IF(AND(D89=14,D90&lt;9.1),"&lt; 5th",IF(AND(D89=14,D90=9.1),"On 5th",IF(AND(D89=14,D90&gt;9.1,D90&lt;9.5),"5th-10th",IF(AND(D89=14,D90=9.5),"On 10th",IF(AND(D89=14,D90&gt;9.5,D90&lt;12.5),"10th-90th",IF(AND(D89=14,D90=12.5),"On 90th",IF(AND(D89=14,D90&gt;12.5,D90&lt;13),"90th-95th",IF(AND(D89=14,D90=13),"On 95th",IF(AND(D89=14,D90&gt;13),"&gt; 95th",IF(AND(D89=15,D90&lt;9.3),"&lt; 5th",IF(AND(D89=15,D90=9.3),"On 5th",IF(AND(D89=15,D90&gt;9.3,D90&lt;9.7),"5th-10th",IF(AND(D89=15,D90=9.7),"On 10th",IF(AND(D89=15,D90&gt;9.7,D90&lt;12.8),"10th-90th",IF(AND(D89=15,D90=12.8),"On 90th",IF(AND(D89=15,D90&gt;12.8,D90&lt;13.3),"90th-95th",IF(AND(D89=15,D90=13.3),"On 95th",IF(AND(D89=15,D90&gt;13.3),"&gt; 95th",IF(AND(D89=16,D90&lt;9.5),"&lt; 5th",IF(AND(D89=16,D90=9.5),"On 5th",IF(AND(D89=16,D90&gt;9.5,D90&lt;9.9),"5th-10th",IF(AND(D89=16,D90=9.9),"On 10th",IF(AND(D89=16,D90&gt;9.9,D90&lt;13),"10th-90th",IF(AND(D89=16,D90=13),"On 90th",IF(AND(D89=16,D90&gt;13,D90&lt;13.6),"90th-95th",IF(AND(D89=16,D90=13.6),"On 95th",IF(AND(D89=16,D90&gt;13.6),"&gt; 95th",IF(AND(D89=17,D90&lt;9.7),"&lt; 5th",IF(AND(D89=17,D90=9.7),"On 5th",IF(AND(D89=17,D90&gt;9.7,D90&lt;10),"5th-10th",IF(AND(D89=17,D90=10),"On 10th",IF(AND(D89=17,D90&gt;10,D90&lt;13.3),"10th-90th",IF(AND(D89=17,D90=13.3),"On 90th",IF(AND(D89=17,D90&gt;13.3,D90&lt;13.8),"90th-95th",IF(AND(D89=17,D90=13.8),"On 95th",IF(AND(D89=17,D90&gt;13.8),"&gt; 95th",IF(AND(D89=18,D90&lt;9.8),"&lt; 5th",IF(AND(D89=18,D90=9.8),"On 5th",IF(AND(D89=18,D90&gt;9.8,D90&lt;10.2),"5th-10th",IF(AND(D89=18,D90=10.2),"On 10th",IF(AND(D89=18,D90&gt;10.2,D90&lt;13.5),"10th-90th",IF(AND(D89=18,D90=13.5),"On 90th",IF(AND(D89=18,D90&gt;13.5,D90&lt;14),"90th-95th",IF(AND(D89=18,D90=14),"On 95th",IF(AND(D89=18,D90&gt;14),"&gt; 95th"))))))))))))))))))))))))))))))))))))))))))))))))))))))</f>
        <v>0</v>
      </c>
      <c r="E96" s="30" t="b">
        <f>IF(AND(D89=19,D90&lt;10),"&lt; 5th",IF(AND(D89=19,D90=10),"On 5th",IF(AND(D89=19,D90&gt;10,D90&lt;10.4),"5th-10th",IF(AND(D89=19,D90=10.4),"On 10th",IF(AND(D89=19,D90&gt;10.4,D90&lt;13.7),"10th-90th",IF(AND(D89=19,D90=13.7),"On 90th",IF(AND(D89=19,D90&gt;13.7,D90&lt;14.2),"90th-95th",IF(AND(D89=19,D90=14.2),"On 95th",IF(AND(D89=19,D90&gt;14.2),"&gt; 95th",IF(AND(D89=20,D90&lt;10.1),"&lt; 5th",IF(AND(D89=20,D90=10.1),"On 5th",IF(AND(D89=20,D90&gt;10.1,D90&lt;10.5),"5th-10th",IF(AND(D89=20,D90=10.5),"On 10th",IF(AND(D89=20,D90&gt;10.5,D90&lt;13.9),"10th-90th",IF(AND(D89=20,D90=13.9),"On 90th",IF(AND(D89=20,D90&gt;13.9,D90&lt;14.4),"90th-95th",IF(AND(D89=20,D90=14.4),"On 95th",IF(AND(D89=20,D90&gt;14.4),"&gt; 95th",IF(AND(D89=21,D90&lt;10.3),"&lt; 5th",IF(AND(D89=21,D90=10.3),"On 5th",IF(AND(D89=21,D90&gt;10.3,D90&lt;10.7),"5th-10th",IF(AND(D89=21,D90=10.7),"On 10th",IF(AND(D89=21,D90&gt;10.7,D90&lt;14.1),"10th-90th",IF(AND(D89=21,D90=14.1),"On 90th",IF(AND(D89=21,D90&gt;14.1,D90&lt;14.6),"90th-95th",IF(AND(D89=21,D90=14.6),"On 95th",IF(AND(D89=21,D90&gt;14.6),"&gt; 95th",IF(AND(D89=22,D90&lt;10.4),"&lt; 5th",IF(AND(D89=22,D90=10.4),"On 5th",IF(AND(D89=22,D90&gt;10.4,D90&lt;10.8),"5th-10th",IF(AND(D89=22,D90=10.8),"On 10th",IF(AND(D89=22,D90&gt;10.8,D90&lt;14.2),"10th-90th",IF(AND(D89=22,D90=14.2),"On 90th",IF(AND(D89=22,D90&gt;14.2,D90&lt;14.8),"90th-95th",IF(AND(D89=22,D90=14.8),"On 95th",IF(AND(D89=22,D90&gt;14.8),"&gt; 95th",IF(AND(D89=23,D90&lt;10.5),"&lt; 5th",IF(AND(D89=23,D90=10.5),"On 5th",IF(AND(D89=23,D90&gt;10.5,D90&lt;10.9),"5th-10th",IF(AND(D89=23,D90=10.9),"On 10th",IF(AND(D89=23,D90&gt;10.9,D90&lt;14.4),"10th-90th",IF(AND(D89=23,D90=14.4),"On 90th",IF(AND(D89=23,D90&gt;14.4,D90&lt;15),"90th-95th",IF(AND(D89=23,D90=15),"On 95th",IF(AND(D89=23,D90&gt;15),"&gt; 95th",IF(AND(D89=24,D90&lt;10.6),"&lt; 5th",IF(AND(D89=24,D90=10.6),"On 5th",IF(AND(D89=24,D90&gt;10.6,D90&lt;11),"5th-10th",IF(AND(D89=24,D90=11),"On 10th",IF(AND(D89=24,D90&gt;11,D90&lt;14.6),"10th-90th",IF(AND(D89=24,D90=14.6),"On 90th",IF(AND(D89=24,D90&gt;14.6,D90&lt;15.2),"90th-95th",IF(AND(D89=24,D90=15.2),"On 95th",IF(AND(D89=24,D90&gt;15.2),"&gt; 95th"))))))))))))))))))))))))))))))))))))))))))))))))))))))</f>
        <v>0</v>
      </c>
      <c r="F96" s="15"/>
      <c r="G96" s="31" t="s">
        <v>55</v>
      </c>
      <c r="H96" s="31" t="b">
        <f>IF(AND(D91=46,D90&lt;1.9),"&lt; 5th",IF(AND(D91=46,D90=1.9),"On 5th",IF(AND(D91=46,D90&gt;1.9,D90&lt;2),"5th-10th",IF(AND(D91=46,D90=2),"On 10th",IF(AND(D91=46,D90&gt;2,D90&lt;2.9),"10th-90th",IF(AND(D91=46,D90=2.9),"On 90th",IF(AND(D91=46,D90&gt;2.9,D90&lt;3),"90th-95th",IF(AND(D91=46,D90=3),"On 95th",IF(AND(D91=46,D90&gt;3),"&gt; 95th",IF(AND(D91=47,D90&lt;2.1),"&lt; 5th",IF(AND(D91=47,D90=2.1),"On 5th",IF(AND(D91=47,D90&gt;2.1,D90&lt;2.2),"5th-10th",IF(AND(D91=47,D90=2.2),"On 10th",IF(AND(D91=47,D90&gt;2.2,D90&lt;3.2),"10th-90th",IF(AND(D91=47,D90=3.2),"On 90th",IF(AND(D91=47,D90&gt;3.2,D90&lt;3.3),"90th-95th",IF(AND(D91=47,D90=3.3),"On 95th",IF(AND(D91=47,D90&gt;3.3),"&gt; 95th",IF(AND(D91=48,D90&lt;2.3),"&lt; 5th",IF(AND(D91=48,D90=2.3),"On 5th",IF(AND(D91=48,D90&gt;2.3,D90&lt;2.4),"5th-10th",IF(AND(D91=48,D90=2.4),"On 10th",IF(AND(D91=48,D90&gt;2.4,D90&lt;3.4),"10th-90th",IF(AND(D91=48,D90=3.4),"On 90th",IF(AND(D91=48,D90&gt;3.4,D90&lt;3.5),"90th-95th",IF(AND(D91=48,D90=3.5),"On 95th",IF(AND(D91=48,D90&gt;3.5),"&gt; 95th",IF(AND(D91=49,D90&lt;2.5),"&lt; 5th",IF(AND(D91=49,D90=2.5),"On 5th",IF(AND(D91=49,D90&gt;2.5,D90&lt;2.7),"5th-10th",IF(AND(D91=49,D90=2.7),"On 10th",IF(AND(D91=49,D90&gt;2.7,D90&lt;3.6),"10th-90th",IF(AND(D91=49,D90=3.6),"On 90th",IF(AND(D91=49,D90&gt;3.6,D90&lt;3.8),"90th-95th",IF(AND(D91=49,D90=3.8),"On 95th",IF(AND(D91=49,D90&gt;3.8),"&gt; 95th",IF(AND(D91=50,D90&lt;2.8),"&lt; 5th",IF(AND(D91=50,D90=2.8),"On 5th",IF(AND(D91=50,D90&gt;2.8,D90&lt;2.9),"5th-10th",IF(AND(D91=50,D90=2.9),"On 10th",IF(AND(D91=50,D90&gt;2.9,D90&lt;3.9),"10th-90th",IF(AND(D91=50,D90=3.9),"On 90th",IF(AND(D91=50,D90&gt;3.9,D90&lt;4),"90th-95th",IF(AND(D91=50,D90=4),"On 95th",IF(AND(D91=50,D90&gt;4),"&gt; 95th",IF(AND(D91=51,D90&lt;3),"&lt; 5th",IF(AND(D91=51,D90=3),"On 5th",IF(AND(D91=51,D90&gt;3,D90&lt;3.1),"5th-10th",IF(AND(D91=51,D90=3.1),"On 10th",IF(AND(D91=51,D90&gt;3.1,D90&lt;4.2),"10th-90th",IF(AND(D91=51,D90=4.2),"On 90th",IF(AND(D91=51,D90&gt;4.2,D90&lt;4.3),"90th-95th",IF(AND(D91=51,D90=4.3),"On 95th",IF(AND(D91=51,D90&gt;4.3),"&gt; 95th",IF(AND(D91=52,D90&lt;3.2),"&lt; 5th",IF(AND(D91=52,D90=3.2),"On 5th",IF(AND(D91=52,D90&gt;3.2,D90&lt;3.4),"5th-10th",IF(AND(D91=52,D90=3.4),"On 10th",IF(AND(D91=52,D90&gt;3.4,D90&lt;4.4),"10th-90th",IF(AND(D91=52,D90=4.4),"On 90th",IF(AND(D91=52,D90&gt;4.4,D90&lt;4.6),"90th-95th",IF(AND(D91=52,D90=4.6),"On 95th",IF(AND(D91=52,D90&gt;4.6),"&gt; 95th")))))))))))))))))))))))))))))))))))))))))))))))))))))))))))))))</f>
        <v>0</v>
      </c>
      <c r="I96" s="31" t="b">
        <f>IF(AND(D91=53,D90&lt;3.5),"&lt; 5th",IF(AND(D91=53,D90=3.5),"On 5th",IF(AND(D91=53,D90&gt;3.5,D90&lt;3.6),"5th-10th",IF(AND(D91=53,D90=3.6),"On 10th",IF(AND(D91=53,D90&gt;3.6,D90&lt;4.7),"10th-90th",IF(AND(D91=53,D90=4.7),"On 90th",IF(AND(D91=53,D90&gt;4.7,D90&lt;4.9),"90th-95th",IF(AND(D91=53,D90=4.9),"On 95th",IF(AND(D91=53,D90&gt;4.9),"&gt; 95th",IF(AND(D91=54,D90&lt;3.7),"&lt; 5th",IF(AND(D91=54,D90=3.7),"On 5th",IF(AND(D91=54,D90&gt;3.7,D90&lt;3.9),"5th-10th",IF(AND(D91=54,D90=3.9),"On 10th",IF(AND(D91=54,D90&gt;3.9,D90&lt;5),"10th-90th",IF(AND(D91=54,D90=5),"On 90th",IF(AND(D91=54,D90&gt;5,D90&lt;5.2),"90th-95th",IF(AND(D91=54,D90=5.2),"On 95th",IF(AND(D91=54,D90&gt;5.2),"&gt; 95th",IF(AND(D91=55,D90&lt;4),"&lt; 5th",IF(AND(D91=55,D90=4),"On 5th",IF(AND(D91=55,D90&gt;4,D90&lt;4.1),"5th-10th",IF(AND(D91=55,D90=4.1),"On 10th",IF(AND(D91=55,D90&gt;4.1,D90&lt;5.2),"10th-90th",IF(AND(D91=55,D90=5.2),"On 90th",IF(AND(D91=55,D90&gt;5.2,D90&lt;5.4),"90th-95th",IF(AND(D91=55,D90=5.4),"On 95th",IF(AND(D91=55,D90&gt;5.4),"&gt; 95th",IF(AND(D91=56,D90&lt;4.2),"&lt; 5th",IF(AND(D91=56,D90=4.2),"On 5th",IF(AND(D91=56,D90&gt;4.2,D90&lt;4.3),"5th-10th",IF(AND(D91=56,D90=4.3),"On 10th",IF(AND(D91=56,D90&gt;4.3,D90&lt;5.5),"10th-90th",IF(AND(D91=56,D90=5.5),"On 90th",IF(AND(D91=56,D90&gt;5.5,D90&lt;5.8),"90th-95th",IF(AND(D91=56,D90=5.8),"On 95th",IF(AND(D91=56,D90&gt;5.8),"&gt; 95th",IF(AND(D91=57,D90&lt;4.4),"&lt; 5th",IF(AND(D91=57,D90=4.4),"On 5th",IF(AND(D91=57,D90&gt;4.4,D90&lt;4.6),"5th-10th",IF(AND(D91=57,D90=4.6),"On 10th",IF(AND(D91=57,D90&gt;4.6,D90&lt;5.8),"10th-90th",IF(AND(D91=57,D90=5.8),"On 90th",IF(AND(D91=57,D90&gt;5.8,D90&lt;6),"90th-95th",IF(AND(D91=57,D90=6),"On 95th",IF(AND(D91=57,D90&gt;6),"&gt; 95th",IF(AND(D91=58,D90&lt;4.7),"&lt; 5th",IF(AND(D91=62,D90=4.7),"On 5th",IF(AND(D91=58,D90&gt;4.7,D90&lt;4.8),"5th-10th",IF(AND(D91=58,D90=4.8),"On 10th",IF(AND(D91=58,D90&gt;4.8,D90&lt;6.1),"10th-90th",IF(AND(D91=58,D90=6.1),"On 90th",IF(AND(D91=58,D90&gt;6.1,D90&lt;6.3),"90th-95th",IF(AND(D91=58,D90=6.3),"On 95th",IF(AND(D91=58,D90&gt;6.3),"&gt; 95th",IF(AND(D91=59,D90&lt;4.9),"&lt; 5th",IF(AND(D91=59,D90=4.9),"On 5th",IF(AND(D91=59,D90&gt;4.9,D90&lt;5),"5th-10th",IF(AND(D91=59,D90=5),"On 10th",IF(AND(D91=59,D90&gt;5,D90&lt;6.4),"10th-90th",IF(AND(D91=59,D90=6.4),"On 90th",IF(AND(D91=59,D90&gt;6.4,D90&lt;6.6),"90th-95th",IF(AND(D91=59,D90=6.6),"On 95th",IF(AND(D91=59,D90&gt;6.6),"&gt; 95th")))))))))))))))))))))))))))))))))))))))))))))))))))))))))))))))</f>
        <v>0</v>
      </c>
      <c r="J96" s="31" t="b">
        <f>IF(AND(D91=60,D90&lt;5.2),"&lt; 5th",IF(AND(D91=60,D90=5.2),"On 5th",IF(AND(D91=60,D90&gt;5.2,D90&lt;5.3),"5th-10th",IF(AND(D91=60,D90=5.3),"On 10th",IF(AND(D91=60,D90&gt;5.3,D90&lt;6.7),"10th-90th",IF(AND(D91=60,D90=6.7),"On 90th",IF(AND(D91=60,D90&gt;6.7,D90&lt;6.9),"90th-95th",IF(AND(D91=60,D90=6.9),"On 95th",IF(AND(D91=60,D90&gt;6.9),"&gt; 95th",IF(AND(D91=61,D90&lt;5.4),"&lt; 5th",IF(AND(D91=61,D90=5.4),"On 5th",IF(AND(D91=61,D90&gt;5.4,D90&lt;5.6),"5th-10th",IF(AND(D91=61,D90=5.6),"On 10th",IF(AND(D91=61,D90&gt;5.6,D90&lt;7),"10th-90th",IF(AND(D91=61,D90=7),"On 90th",IF(AND(D91=61,D90&gt;7,D90&lt;7.2),"90th-95th",IF(AND(D91=61,D90=7.2),"On 95th",IF(AND(D91=61,D90&gt;7.2),"&gt; 95th",IF(AND(D91=62,D90&lt;5.6),"&lt; 5th",IF(AND(D91=62,D90=5.6),"On 5th",IF(AND(D91=62,D90&gt;5.6,D90&lt;5.8),"5th-10th",IF(AND(D91=62,D90=5.8),"On 10th",IF(AND(D91=62,D90&gt;5.8,D90&lt;7.2),"10th-90th",IF(AND(D91=62,D90=7.2),"On 90th",IF(AND(D91=62,D90&gt;7.2,D90&lt;7.5),"90th-95th",IF(AND(D91=62,D90=7.5),"On 95th",IF(AND(D91=62,D90&gt;7.5),"&gt; 95th",IF(AND(D91=63,D90&lt;5.9),"&lt; 5th",IF(AND(D91=63,D90=5.9),"On 5th",IF(AND(D91=63,D90&gt;5.9,D90&lt;6),"5th-10th",IF(AND(D91=63,D90=6),"On 10th",IF(AND(D91=63,D90&gt;6,D90&lt;7.5),"10th-90th",IF(AND(D91=63,D90=7.5),"On 90th",IF(AND(D91=63,D90&gt;7.5,D90&lt;7.8),"90th-95th",IF(AND(D91=63,D90=7.8),"On 95th",IF(AND(D91=63,D90&gt;7.8),"&gt; 95th",IF(AND(D91=64,D90&lt;6.1),"&lt; 5th",IF(AND(D91=64,D90=6.1),"On 5th",IF(AND(D91=64,D90&gt;6.1,D90&lt;6.3),"5th-10th",IF(AND(D91=64,D90=6.3),"On 10th",IF(AND(D91=64,D90&gt;6.3,D90&lt;7.8),"10th-90th",IF(AND(D91=64,D90=7.8),"On 90th",IF(AND(D91=64,D90&gt;7.8,D90&lt;8.1),"90th-95th",IF(AND(D91=64,D90=8.1),"On 95th",IF(AND(D91=64,D90&gt;8.1),"&gt; 95th",IF(AND(D91=65,D90&lt;6.3),"&lt; 5th",IF(AND(D91=65,D90=6.3),"On 5th",IF(AND(D91=65,D90&gt;6.3,D90&lt;6.5),"5th-10th",IF(AND(D91=65,D90=6.5),"On 10th",IF(AND(D91=65,D90&gt;6.5,D90&lt;8.1),"10th-90th",IF(AND(D91=65,D90=8.1),"On 90th",IF(AND(D91=65,D90&gt;8.1,D90&lt;8.4),"90th-95th",IF(AND(D91=65,D90=8.4),"On 95th",IF(AND(D91=65,D90&gt;8.4),"&gt; 95th",IF(AND(D91=66,D90&lt;6.6),"&lt; 5th",IF(AND(D91=66,D90=6.6),"On 5th",IF(AND(D91=66,D90&gt;6.6,D90&lt;6.8),"5th-10th",IF(AND(D91=66,D90=6.8),"On 10th",IF(AND(D91=66,D90&gt;6.8,D90&lt;8.3),"10th-90th",IF(AND(D91=66,D90=8.3),"On 90th",IF(AND(D91=66,D90&gt;8.3,D90&lt;8.6),"90th-95th",IF(AND(D91=66,D90=8.6),"On 95th",IF(AND(D91=66,D90&gt;8.6),"&gt; 95th")))))))))))))))))))))))))))))))))))))))))))))))))))))))))))))))</f>
        <v>0</v>
      </c>
      <c r="K96" s="31" t="b">
        <f>IF(AND(D91=67,D90&lt;6.8),"&lt; 5th",IF(AND(D91=67,D90=6.8),"On 5th",IF(AND(D91=67,D90&gt;6.8,D90&lt;7),"5th-10th",IF(AND(D91=67,D90=7),"On 10th",IF(AND(D91=67,D90&gt;7,D90&lt;8.6),"10th-90th",IF(AND(D91=67,D90=8.6),"On 90th",IF(AND(D91=67,D90&gt;8.6,D90&lt;8.9),"90th-95th",IF(AND(D91=67,D90=8.9),"On 95th",IF(AND(D91=67,D90&gt;8.9),"&gt; 95th",IF(AND(D91=68,D90&lt;7),"&lt; 5th",IF(AND(D91=68,D90=7),"On 5th",IF(AND(D91=68,D90&gt;7,D90&lt;7.2),"5th-10th",IF(AND(D91=68,D90=7.2),"On 10th",IF(AND(D91=68,D90&gt;7.2,D90&lt;8.8),"10th-90th",IF(AND(D91=68,D90=8.8),"On 90th",IF(AND(D91=68,D90&gt;8.8,D90&lt;9.2),"90th-95th",IF(AND(D91=68,D90=9.2),"On 95th",IF(AND(D91=68,D90&gt;9.2),"&gt; 95th",IF(AND(D91=69,D90&lt;7.2),"&lt; 5th",IF(AND(D91=69,D90=7.2),"On 5th",IF(AND(D91=69,D90&gt;7.2,D90&lt;7.4),"5th-10th",IF(AND(D91=69,D90=7.4),"On 10th",IF(AND(D91=69,D90&gt;7.4,D90&lt;9.1),"10th-90th",IF(AND(D91=69,D90=9.1),"On 90th",IF(AND(D91=69,D90&gt;9.1,D90&lt;9.5),"90th-95th",IF(AND(D91=69,D90=9.5),"On 95th",IF(AND(D91=69,D90&gt;9.5),"&gt; 95th",IF(AND(D91=70,D90&lt;7.4),"&lt; 5th",IF(AND(D91=70,D90=7.4),"On 5th",IF(AND(D91=70,D90&gt;7.4,D90&lt;7.6),"5th-10th",IF(AND(D91=70,D90=7.6),"On 10th",IF(AND(D91=70,D90&gt;7.6,D90&lt;9.4),"10th-90th",IF(AND(D91=70,D90=9.4),"On 90th",IF(AND(D91=70,D90&gt;9.4,D90&lt;9.7),"90th-95th",IF(AND(D91=70,D90=9.7),"On 95th",IF(AND(D91=70,D90&gt;9.7),"&gt; 95th",IF(AND(D91=71,D90&lt;7.7),"&lt; 5th",IF(AND(D91=71,D90=7.7),"On 5th",IF(AND(D91=71,D90&gt;7.7,D90&lt;7.9),"5th-10th",IF(AND(D91=71,D90=7.9),"On 10th",IF(AND(D91=71,D90&gt;7.9,D90&lt;9.7),"10th-90th",IF(AND(D91=71,D90=9.7),"On 90th",IF(AND(D91=71,D90&gt;9.7,D90&lt;10),"90th-95th",IF(AND(D91=71,D90=10),"On 95th",IF(AND(D91=71,D90&gt;10),"&gt; 95th",IF(AND(D91=72,D90&lt;7.9),"&lt; 5th",IF(AND(D91=72,D90=7.9),"On 5th",IF(AND(D91=72,D90&gt;7.9,D90&lt;8.1),"5th-10th",IF(AND(D91=72,D90=8.1),"On 10th",IF(AND(D91=72,D90&gt;8.1,D90&lt;9.9),"10th-90th",IF(AND(D91=72,D90=9.9),"On 90th",IF(AND(D91=72,D90&gt;9.9,D90&lt;10.3),"90th-95th",IF(AND(D91=72,D90=10.3),"On 95th",IF(AND(D91=72,D90&gt;10.3),"&gt; 95th",IF(AND(D91=73,D90&lt;8.1),"&lt; 5th",IF(AND(D91=73,D90=8.1),"On 5th",IF(AND(D91=73,D90&gt;8.1,D90&lt;8.3),"5th-10th",IF(AND(D91=73,D90=8.3),"On 10th",IF(AND(D91=73,D90&gt;8.3,D90&lt;10.2),"10th-90th",IF(AND(D91=73,D90=10.2),"On 90th",IF(AND(D91=73,D90&gt;10.2,D90&lt;10.5),"90th-95th",IF(AND(D91=73,D90=10.5),"On 95th",IF(AND(D91=73,D90&gt;10.5),"&gt; 95th")))))))))))))))))))))))))))))))))))))))))))))))))))))))))))))))</f>
        <v>0</v>
      </c>
      <c r="L96" s="31" t="b">
        <f>IF(AND(D91=74,D90&lt;8.3),"&lt; 5th",IF(AND(D91=74,D90=8.3),"On 5th",IF(AND(D91=74,D90&gt;8.3,D90&lt;8.5),"5th-10th",IF(AND(D91=74,D90=8.5),"On 10th",IF(AND(D91=74,D90&gt;8.5,D90&lt;10.4),"10th-90th",IF(AND(D91=74,D90=10.4),"On 90th",IF(AND(D91=74,D90&gt;10.4,D90&lt;10.8),"90th-95th",IF(AND(D91=74,D90=10.8),"On 95th",IF(AND(D91=74,D90&gt;10.8),"&gt; 95th",IF(AND(D91=75,D90&lt;8.5),"&lt; 5th",IF(AND(D91=75,D90=8.5),"On 5th",IF(AND(D91=75,D90&gt;8.5,D90&lt;8.8),"5th-10th",IF(AND(D91=75,D90=8.8),"On 10th",IF(AND(D91=75,D90&gt;8.8,D90&lt;10.7),"10th-90th",IF(AND(D91=75,D90=10.7),"On 90th",IF(AND(D91=75,D90&gt;10.7,D90&lt;11),"90th-95th",IF(AND(D91=75,D90=11),"On 95th",IF(AND(D91=75,D90&gt;11),"&gt; 95th",IF(AND(D91=76,D90&lt;8.7),"&lt; 5th",IF(AND(D91=76,D90=8.7),"On 5th",IF(AND(D91=76,D90&gt;8.7,D90&lt;9),"5th-10th",IF(AND(D91=76,D90=9),"On 10th",IF(AND(D91=76,D90&gt;9,D90&lt;11),"10th-90th",IF(AND(D91=76,D90=11),"On 90th",IF(AND(D91=76,D90&gt;11,D90&lt;11.3),"90th-95th",IF(AND(D91=76,D90=11.3),"On 95th",IF(AND(D91=76,D90&gt;11.3),"&gt; 95th",IF(AND(D91=77,D90&lt;9),"&lt; 5th",IF(AND(D91=77,D90=9),"On 5th",IF(AND(D91=77,D90&gt;9,D90&lt;9.2),"5th-10th",IF(AND(D91=77,D90=9.2),"On 10th",IF(AND(D91=77,D90&gt;9.2,D90&lt;11.2),"10th-90th",IF(AND(D91=77,D90=11.2),"On 90th",IF(AND(D91=77,D90&gt;11.2,D90&lt;11.6),"90th-95th",IF(AND(D91=77,D90=11.6),"On 95th",IF(AND(D91=77,D90&gt;11.6),"&gt; 95th",IF(AND(D91=78,D90&lt;9.2),"&lt; 5th",IF(AND(D91=78,D90=9.2),"On 5th",IF(AND(D91=78,D90&gt;9.2,D90&lt;9.4),"5th-10th",IF(AND(D91=78,D90=9.4),"On 10th",IF(AND(D91=78,D90&gt;9.4,D90&lt;11.4),"10th-90th",IF(AND(D91=78,D90=11.4),"On 90th",IF(AND(D91=78,D90&gt;11.4,D90&lt;11.8),"90th-95th",IF(AND(D91=78,D90=11.8),"On 95th",IF(AND(D91=78,D90&gt;11.8),"&gt; 95th",IF(AND(D91=79,D90&lt;9.4),"&lt; 5th",IF(AND(D91=79,D90=9.4),"On 5th",IF(AND(D91=79,D90&gt;9.4,D90&lt;9.6),"5th-10th",IF(AND(D91=79,D90=9.6),"On 10th",IF(AND(D91=79,D90&gt;9.6,D90&lt;11.7),"10th-90th",IF(AND(D91=79,D90=11.7),"On 90th",IF(AND(D91=79,D90&gt;11.7,D90&lt;12),"90th-95th",IF(AND(D91=79,D90=12),"On 95th",IF(AND(D91=79,D90&gt;11.7),"&gt; 95th",IF(AND(D91=80,D90&lt;9.6),"&lt; 5th",IF(AND(D91=80,D90=9.6),"On 5th",IF(AND(D91=80,D90&gt;9.6,D90&lt;9.8),"5th-10th",IF(AND(D91=80,D90=9.8),"On 10th",IF(AND(D91=80,D90&gt;9.8,D90&lt;12),"10th-90th",IF(AND(D91=80,D90=12),"On 90th",IF(AND(D91=80,D90&gt;12,D90&lt;12.3),"90th-95th",IF(AND(D91=80,D90=12.3),"On 95th",IF(AND(D91=80,D90&gt;12.3),"&gt; 95th")))))))))))))))))))))))))))))))))))))))))))))))))))))))))))))))</f>
        <v>0</v>
      </c>
      <c r="M96" s="31" t="b">
        <f>IF(AND(D91=81,D90&lt;9.8),"&lt; 5th",IF(AND(D91=81,D90=9.8),"On 5th",IF(AND(D91=81,D90&gt;9.8,D90&lt;10),"5th-10th",IF(AND(D91=81,D90=10),"On 10th",IF(AND(D91=81,D90&gt;10,D90&lt;12.2),"10th-90th",IF(AND(D91=81,D90=12.2),"On 90th",IF(AND(D91=81,D90&gt;12.2,D90&lt;12.6),"90th-95th",IF(AND(D91=81,D90=12.6),"On 95th",IF(AND(D91=81,D90&gt;12.6),"&gt; 95th",IF(AND(D91=82,D90&lt;10),"&lt; 5th",IF(AND(D91=82,D90=10),"On 5th",IF(AND(D91=82,D90&gt;10,D90&lt;10.2),"5th-10th",IF(AND(D91=82,D90=10.2),"On 10th",IF(AND(D91=82,D90&gt;10.2,D90&lt;12.4),"10th-90th",IF(AND(D91=82,D90=12.4),"On 90th",IF(AND(D91=82,D90&gt;12.4,D90&lt;12.8),"90th-95th",IF(AND(D91=82,D90=12.8),"On 95th",IF(AND(D91=82,D90&gt;12.8),"&gt; 95th",IF(AND(D91=83,D90&lt;10.2),"&lt; 5th",IF(AND(D91=83,D90=10.2),"On 5th",IF(AND(D91=83,D90&gt;10.2,D90&lt;10.4),"5th-10th",IF(AND(D91=83,D90=10.4),"On 10th",IF(AND(D91=83,D90&gt;10.4,D90&lt;12.7),"10th-90th",IF(AND(D91=83,D90=12.7),"On 90th",IF(AND(D91=83,D90&gt;12.7,D90&lt;13.1),"90th-95th",IF(AND(D91=83,D90=13.1),"On 95th",IF(AND(D91=83,D90&gt;13.1),"&gt; 95th",IF(AND(D91=84,D90&lt;10.4),"&lt; 5th",IF(AND(D91=84,D90=10.4),"On 5th",IF(AND(D91=84,D90&gt;10.4,D90&lt;10.6),"5th-10th",IF(AND(D91=84,D90=10.6),"On 10th",IF(AND(D91=84,D90&gt;10.6,D90&lt;12.9),"10th-90th",IF(AND(D91=84,D90=12.9),"On 90th",IF(AND(D91=84,D90&gt;12.9,D90&lt;13.3),"90th-95th",IF(AND(D91=84,D90=13.3),"On 95th",IF(AND(D91=84,D90&gt;13.3),"&gt; 95th",IF(AND(D91=85,D90&lt;10.6),"&lt; 5th",IF(AND(D91=85,D90=10.6),"On 5th",IF(AND(D91=85,D90&gt;10.6,D90&lt;10.8),"5th-10th",IF(AND(D91=85,D90=10.8),"On 10th",IF(AND(D91=85,D90&gt;10.8,D90&lt;13.2),"10th-90th",IF(AND(D91=85,D90=13.2),"On 90th",IF(AND(D91=85,D90&gt;13.2,D90&lt;13.6),"90th-95th",IF(AND(D91=85,D90=13.6),"On 95th",IF(AND(D91=85,D90&gt;13.6),"&gt; 95th",IF(AND(D91=86,D90&lt;10.8),"&lt; 5th",IF(AND(D91=86,D90=10.8),"On 5th",IF(AND(D91=86,D90&gt;10.8,D90&lt;11),"5th-10th",IF(AND(D91=86,D90=11),"On 10th",IF(AND(D91=86,D90&gt;11,D90&lt;13.4),"10th-90th",IF(AND(D91=86,D90=13.4),"On 90th",IF(AND(D91=86,D90&gt;13.4,D90&lt;13.8),"90th-95th",IF(AND(D91=86,D90=13.8),"On 95th",IF(AND(D91=86,D90&gt;13.8),"&gt; 95th",IF(AND(D91=87,D90&lt;11),"&lt; 5th",IF(AND(D91=87,D90=11),"On 5th",IF(AND(D91=87,D90&gt;11,D90&lt;11.3),"5th-10th",IF(AND(D91=87,D90=11.3),"On 10th",IF(AND(D91=87,D90&gt;11.3,D90&lt;13.7),"10th-90th",IF(AND(D91=87,D90=13.7),"On 90th",IF(AND(D91=87,D90&gt;13.7,D90&lt;14.1),"90th-95th",IF(AND(D91=87,D90=14.1),"On 95th",IF(AND(D91=87,D90&gt;14.1),"&gt; 95th")))))))))))))))))))))))))))))))))))))))))))))))))))))))))))))))</f>
        <v>0</v>
      </c>
      <c r="N96" s="39" t="b">
        <f>IF(AND(D91=88,D90&lt;11.2),"&lt; 5th",IF(AND(D91=88,D90=11.2),"On 5th",IF(AND(D91=88,D90&gt;11.2,D90&lt;11.5),"5th-10th",IF(AND(D91=88,D90=11.5),"On 10th",IF(AND(D91=82,D90&gt;11.5,D90&lt;13.9),"10th-90th",IF(AND(D91=88,D90=13.9),"On 90th",IF(AND(D91=88,D90&gt;13.9,D90&lt;14.4),"90th-95th",IF(AND(D91=88,D90=14.4),"On 95th",IF(AND(D91=88,D90&gt;14.4),"&gt; 95th",IF(AND(D91=89,D90&lt;11.4),"&lt; 5th",IF(AND(D91=89,D90=11.4),"On 5th",IF(AND(D91=89,D90&gt;11.4,D90&lt;11.6),"5th-10th",IF(AND(D91=89,D90=11.6),"On 10th",IF(AND(D91=89,D90&gt;11.6,D90&lt;14.2),"10th-90th",IF(AND(D91=89,D90=14.2),"On 90th",IF(AND(D91=89,D90&gt;14.2,D90&lt;14.6),"90th-95th",IF(AND(D91=89,D90=14.6),"On 95th",IF(AND(D91=89,D90&gt;14.6),"&gt; 95th",IF(AND(D91=90,D90&lt;11.6),"&lt; 5th",IF(AND(D91=90,D90=11.6),"On 5th",IF(AND(D91=90,D90&gt;11.6,D90&lt;11.9),"5th-10th",IF(AND(D91=90,D90=11.9),"On 10th",IF(AND(D91=90,D90&gt;11.9,D90&lt;14.4),"10th-90th",IF(AND(D91=90,D90=14.4),"On 90th",IF(AND(D91=90,D90&gt;14.4,D90&lt;14.9),"90th-95th",IF(AND(D91=90,D90=14.9),"On 95th",IF(AND(D91=90,D90&gt;14.9),"&gt; 95th",IF(AND(D91=91,D90&lt;11.8),"&lt; 5th",IF(AND(D91=91,D90=11.8),"On 5th",IF(AND(D91=91,D90&gt;11.8,D90&lt;12.1),"5th-10th",IF(AND(D91=91,D90=12.1),"On 10th",IF(AND(D91=91,D90&gt;12.1,D90&lt;14.7),"10th-90th",IF(AND(D91=91,D90=14.7),"On 90th",IF(AND(D91=91,D90&gt;14.7,D90&lt;15.2),"90th-95th",IF(AND(D91=91,D90=15.2),"On 95th",IF(AND(D91=91,D90&gt;15.2),"&gt; 95th",IF(AND(D91=92,D90&lt;12),"&lt; 5th",IF(AND(D91=92,D90=12),"On 5th",IF(AND(D91=92,D90&gt;12,D90&lt;12.3),"5th-10th",IF(AND(D91=92,D90=12.3),"On 10th",IF(AND(D91=92,D90&gt;12.3,D90&lt;15),"10th-90th",IF(AND(D91=92,D90=15),"On 90th",IF(AND(D91=92,D90&gt;15,D90&lt;15.4),"90th-95th",IF(AND(D91=92,D90=15.4),"On 95th",IF(AND(D91=92,D90&gt;15.4),"&gt; 95th",IF(AND(D91=93,D90&lt;12.2),"&lt; 5th",IF(AND(D91=93,D90=12.2),"On 5th",IF(AND(D91=93,D90&gt;12.2,D90&lt;12.5),"5th-10th",IF(AND(D91=93,D90=12.5),"On 10th",IF(AND(D91=93,D90&gt;12.5,D90&lt;15.2),"10th-90th",IF(AND(D91=93,D90=15.2),"On 90th",IF(AND(D91=93,D90&gt;15.2,D90&lt;15.7),"90th-95th",IF(AND(D91=93,D90=15.7),"On 95th",IF(AND(D91=93,D90&gt;15.7),"&gt; 95th",IF(AND(D91=94,D90&lt;12.4),"&lt; 5th",IF(AND(D91=94,D90=12.4),"On 5th",IF(AND(D91=94,D90&gt;12.4,D90&lt;12.7),"5th-10th",IF(AND(D91=94,D90=12.7),"On 10th",IF(AND(D91=94,D90&gt;12.7,D90&lt;15.5),"10th-90th",IF(AND(D91=94,D90=15.5),"On 90th",IF(AND(D91=94,D90&gt;15.5,D90&lt;16),"90th-95th",IF(AND(D91=94,D90=16),"On 95th",IF(AND(D91=94,D90&gt;16),"&gt; 95th")))))))))))))))))))))))))))))))))))))))))))))))))))))))))))))))</f>
        <v>0</v>
      </c>
    </row>
    <row r="97" spans="1:15" ht="14.4" customHeight="1" x14ac:dyDescent="0.3">
      <c r="A97" s="30" t="s">
        <v>50</v>
      </c>
      <c r="B97" s="30" t="b">
        <f>IF(AND(D89=1),"4.4",IF(AND(D89=2),"5.3",IF(AND(D89=3),"6",IF(AND(D89=4),"6.7",IF(AND(D89=5),"7.3",IF(AND(D89=6),"7.9"))))))</f>
        <v>0</v>
      </c>
      <c r="C97" s="30" t="b">
        <f>IF(AND(D89=7),"8.4",IF(AND(D89=8),"8.8",IF(AND(D89=9),"9.3",IF(AND(D89=10),"9.6",IF(AND(D89=11),"10",IF(AND(D89=12),"10.3"))))))</f>
        <v>0</v>
      </c>
      <c r="D97" s="30" t="b">
        <f>IF(AND(D89=13),"10.6",IF(AND(D89=14),"10.8",IF(AND(D89=15),"11.1",IF(AND(D89=16),"11.3",IF(AND(D89=17),"11.5",IF(AND(D89=18),"11.7"))))))</f>
        <v>0</v>
      </c>
      <c r="E97" s="30" t="b">
        <f>IF(AND(D89=19),"11.9",IF(AND(D89=20),"12.1",IF(AND(D89=21),"12.2",IF(AND(D89=22),"12.4",IF(AND(D89=23),"12.5",IF(AND(D89=24),"12.7"))))))</f>
        <v>0</v>
      </c>
      <c r="F97" s="15"/>
      <c r="G97" s="31" t="s">
        <v>56</v>
      </c>
      <c r="H97" s="31" t="b">
        <f>IF(AND(D91=46),"2.5",IF(AND(D91=47),"2.7",IF(AND(D91=48),"2.9",IF(AND(D91=49),"3.1",IF(AND(D91=50),"3.4",IF(AND(D91=51),"3.6",IF(AND(D91=52),"3.8")))))))</f>
        <v>0</v>
      </c>
      <c r="I97" s="31" t="b">
        <f>IF(AND(D91=53),"4.1",IF(AND(D91=54),"4.4",IF(AND(D91=55),"4.6",IF(AND(D91=56),"4.8",IF(AND(D91=57),"5.1",IF(AND(D91=58),"5.4",IF(AND(D91=59),"5.6")))))))</f>
        <v>0</v>
      </c>
      <c r="J97" s="31" t="b">
        <f>IF(AND(D91=60),"5.9",IF(AND(D91=61),"6.2",IF(AND(D91=62),"6.4",IF(AND(D91=63),"6.7",IF(AND(D91=64),"6.9",IF(AND(D91=65),"7.2",IF(AND(D91=66),"7.4")))))))</f>
        <v>0</v>
      </c>
      <c r="K97" s="31" t="b">
        <f>IF(AND(D91=67),"7.7",IF(AND(D91=68),"7.9",IF(AND(D91=69),"8.2",IF(AND(D91=70),"8.4",IF(AND(D91=71),"8.7",IF(AND(D91=72),"8.9",IF(AND(D91=73),"9.2")))))))</f>
        <v>0</v>
      </c>
      <c r="L97" s="31" t="b">
        <f>IF(AND(D91=74),"9.4",IF(AND(D91=75),"9.6",IF(AND(D91=76),"9.8",IF(AND(D91=77),"10.1",IF(AND(D91=78),"10.3",IF(AND(D91=79),"10.6",IF(AND(D91=80),"10.8")))))))</f>
        <v>0</v>
      </c>
      <c r="M97" s="35" t="b">
        <f>IF(AND(D91=81),"11",IF(AND(D91=82),"11.2",IF(AND(D91=83),"11.4",IF(AND(D91=84),"11.7",IF(AND(D91=85),"11.9",IF(AND(D91=86),"12.1",IF(AND(D91=87),"12.4")))))))</f>
        <v>0</v>
      </c>
      <c r="N97" s="39" t="b">
        <f>IF(AND(D91=88),"12.6",IF(AND(D91=89),"12.8",IF(AND(D91=90),"13",IF(AND(D91=91),"13.3",IF(AND(D91=92),"13.5",IF(AND(D91=93),"13.7",IF(AND(D91=94),"14")))))))</f>
        <v>0</v>
      </c>
    </row>
    <row r="98" spans="1:15" ht="15.6" x14ac:dyDescent="0.3">
      <c r="A98" s="32" t="s">
        <v>51</v>
      </c>
      <c r="B98" s="32" t="b">
        <f>IF(AND(D89=1,D91&lt;51),"&lt; 5th",IF(AND(D89=1,D91=51),"On 5th",IF(AND(D89=1,D91&gt;51,D91&lt;51.5),"5th-10th",IF(AND(D89=1,D91=51.5),"On 10th",IF(AND(D89=1,D91&gt;51.5,D91&lt;58),"10th-90th",IF(AND(D89=1,D91=58),"On 90th",IF(AND(D89=1,D91&gt;58,D91&lt;59),"90th-95th",IF(AND(D89=1,D91=59),"On 95th",IF(AND(D89=1,D91&gt;59),"&gt; 95th",IF(AND(D89=2,D91&lt;54),"&lt; 5th",IF(AND(D89=2,D91=54),"On 5th",IF(AND(D89=2,D91&gt;54,D91&lt;55),"5th-10th",IF(AND(D89=2,D91=55),"On 10th",IF(AND(D89=2,D91&gt;55,D91&lt;61.5),"10th-90th",IF(AND(D89=2,D91=61.5),"On 90th",IF(AND(D89=2,D91&gt;61.5,D91&lt;62.5),"90th-95th",IF(AND(D89=2,D91=62.5),"On 95th",IF(AND(D89=2,D91&gt;62.5),"&gt; 95th",IF(AND(D89=3,D91&lt;57),"&lt; 5th",IF(AND(D89=3,D91=57),"On 5th",IF(AND(D89=3,D91&gt;57,D91&lt;58),"5th-10th",IF(AND(D89=3,D91=58),"On 10th",IF(AND(D89=3,D91&gt;58,D91&lt;64),"10th-90th",IF(AND(D89=3,D91=64),"On 90th",IF(AND(D89=3,D91&gt;64,D91&lt;65),"90th-95th",IF(AND(D89=3,D91=65),"On 95th",IF(AND(D89=3,D91&gt;65),"&gt; 95th",IF(AND(D89=4,D91&lt;59.5),"&lt; 5th",IF(AND(D89=4,D91=59.5),"On 5th",IF(AND(D89=4,D91&gt;59.5,D91&lt;60),"5th-10th",IF(AND(D89=4,D91=60),"On 10th",IF(AND(D89=4,D91&gt;60,D91&lt;66.5),"10th-90th",IF(AND(D89=4,D91=66.5),"On 90th",IF(AND(D89=4,D91&gt;66.5,D91&lt;67.5),"90th-95th",IF(AND(D89=4,D91=67.5),"On 95th",IF(AND(D89=4,D91&gt;67.5),"&gt; 95th",IF(AND(D89=5,D91&lt;61),"&lt; 5th",IF(AND(D89=5,D91=61),"On 5th",IF(AND(D89=5,D91&gt;61,D91&lt;62),"5th-10th",IF(AND(D89=5,D91=62),"On 10th",IF(AND(D89=5,D91&gt;62,D91&lt;68.5),"10th-90th",IF(AND(D89=5,D91=68.5),"On 90th",IF(AND(D89=5,D91&gt;68.5,D91&lt;70),"90th-95th",IF(AND(D89=5,D91=70),"On 95th",IF(AND(D89=5,D91&gt;70),"&gt; 95th",IF(AND(D89=6,D91&lt;63),"&lt; 5th",IF(AND(D89=6,D91=63),"On 5th",IF(AND(D89=6,D91&gt;63,D91&lt;64),"5th-10th",IF(AND(D89=6,D91=64),"On 10th",IF(AND(D89=6,D91&gt;64,D91&lt;70.5),"10th-90th",IF(AND(D89=6,D91=70.5),"On 90th",IF(AND(D89=6,D91&gt;70.5,D91&lt;71.5),"90th-95th",IF(AND(D89=6,D91=71.5),"On 95th",IF(AND(D89=6,D91&gt;71.5),"&gt; 95th"))))))))))))))))))))))))))))))))))))))))))))))))))))))</f>
        <v>0</v>
      </c>
      <c r="C98" s="32" t="b">
        <f>IF(AND(D89=7,D91&lt;64.5),"&lt; 5th",IF(AND(D89=7,D91=64.5),"On 5th",IF(AND(D89=7,D91&gt;64.5,D91&lt;65.5),"5th-10th",IF(AND(D89=7,D91=65.5),"On 10th",IF(AND(D89=7,D91&gt;65.5,D91&lt;72),"10th-90th",IF(AND(D89=7,D91=72),"On 90th",IF(AND(D89=7,D91&gt;72,D91&lt;73.5),"90th-95th",IF(AND(D89=7,D91=73.5),"On 95th",IF(AND(D89=7,D91&gt;73.5),"&gt; 95th",IF(AND(D89=8,D91&lt;66),"&lt; 5th",IF(AND(D89=8,D91=66),"On 5th",IF(AND(D89=8,D91&gt;66,D91&lt;67),"5th-10th",IF(AND(D89=8,D91=67),"On 10th",IF(AND(D89=8,D91&gt;67,D91&lt;74),"10th-90th",IF(AND(D89=8,D91=74),"On 90th",IF(AND(D89=8,D91&gt;74,D91&lt;75),"90th-95th",IF(AND(D89=8,D91=75),"On 95th",IF(AND(D89=8,D91&gt;75),"&gt; 95th",IF(AND(D89=9,D91&lt;67.5),"&lt; 5th",IF(AND(D89=9,D91=67.5),"On 5th",IF(AND(D89=9,D91&gt;67.5,D91&lt;68.5),"5th-10th",IF(AND(D89=9,D91=68.5),"On 10th",IF(AND(D89=9,D91&gt;68.5,D91&lt;75.5),"10th-90th",IF(AND(D89=9,D91=75.5),"On 90th",IF(AND(D89=9,D91&gt;75.5,D91&lt;76.5),"90th-95th",IF(AND(D89=9,D91=76.5),"On 95th",IF(AND(D89=9,D91&gt;76.5),"&gt; 95th",IF(AND(D89=10,D91&lt;68.8),"&lt; 5th",IF(AND(D89=10,D91=68.8),"On 5th",IF(AND(D89=10,D91&gt;68.8,D91&lt;69.5),"5th-10th",IF(AND(D89=10,D91=69.5),"On 10th",IF(AND(D89=10,D91&gt;69.5,D91&lt;76.9),"10th-90th",IF(AND(D89=10,D91=76.9),"On 90th",IF(AND(D89=10,D91&gt;76.9,D91&lt;78),"90th-95th",IF(AND(D89=10,D91=78),"On 95th",IF(AND(D89=10,D91&gt;78),"&gt; 95th",IF(AND(D89=11,D91&lt;70),"&lt; 5th",IF(AND(D89=11,D91=70),"On 5th",IF(AND(D89=11,D91&gt;70,D91&lt;70.9),"5th-10th",IF(AND(D89=11,D91=70.9),"On 10th",IF(AND(D89=11,D91&gt;70.9,D91&lt;78),"10th-90th",IF(AND(D89=11,D91=78),"On 90th",IF(AND(D89=11,D91&gt;78,D91&lt;79),"90th-95th",IF(AND(D89=11,D91=79),"On 95th",IF(AND(D89=11,D91&gt;79),"&gt; 95th",IF(AND(D89=12,D91&lt;71),"&lt; 5th",IF(AND(D89=12,D91=71),"On 5th",IF(AND(D89=12,D91&gt;71,D91&lt;72),"5th-10th",IF(AND(D89=12,D91=72),"On 10th",IF(AND(D89=12,D91&gt;72,D91&lt;79.5),"10th-90th",IF(AND(D89=12,D91=79.5),"On 90th",IF(AND(D89=12,D91&gt;79.5,D91&lt;80.5),"90th-95th",IF(AND(D89=12,D91=80.5),"On 95th",IF(AND(D89=12,D91&gt;80.5),"&gt; 95th"))))))))))))))))))))))))))))))))))))))))))))))))))))))</f>
        <v>0</v>
      </c>
      <c r="D98" s="32" t="b">
        <f>IF(AND(D89=13,D91&lt;72),"&lt; 5th",IF(AND(D89=13,D91=72),"On 5th",IF(AND(D89=13,D91&gt;72,D91&lt;73),"5th-10th",IF(AND(D89=13,D91=73),"On 10th",IF(AND(D89=13,D91&gt;73,D91&lt;80.5),"10th-90th",IF(AND(D89=13,D91=80.5),"On 90th",IF(AND(D89=13,D91&gt;80.5,D91&lt;82),"90th-95th",IF(AND(D89=13,D91=82),"On 95th",IF(AND(D89=13,D91&gt;82),"&gt; 95th",IF(AND(D89=14,D91&lt;73),"&lt; 5th",IF(AND(D89=14,D91=73),"On 5th",IF(AND(D89=14,D91&gt;73,D91&lt;74),"5th-10th",IF(AND(D89=14,D91=74),"On 10th",IF(AND(D89=14,D91&gt;74,D91&lt;81.9),"10th-90th",IF(AND(D89=14,D91=81.9),"On 90th",IF(AND(D89=14,D91&gt;81.9,D91&lt;83),"90th-95th",IF(AND(D89=14,D91=83),"On 95th",IF(AND(D89=14,D91&gt;83),"&gt; 95th",IF(AND(D89=15,D91&lt;74),"&lt; 5th",IF(AND(D89=15,D91=74),"On 5th",IF(AND(D89=15,D91&gt;74,D91&lt;75),"5th-10th",IF(AND(D89=15,D91=75),"On 10th",IF(AND(D89=15,D91&gt;75,D91&lt;83),"10th-90th",IF(AND(D89=15,D91=83),"On 90th",IF(AND(D89=15,D91&gt;83,D91&lt;84),"90th-95th",IF(AND(D89=15,D91=84),"On 95th",IF(AND(D89=15,D91&gt;84),"&gt; 95th",IF(AND(D89=16,D91&lt;75),"&lt; 5th",IF(AND(D89=16,D91=75),"On 5th",IF(AND(D89=16,D91&gt;75,D91&lt;76),"5th-10th",IF(AND(D89=16,D91=76),"On 10th",IF(AND(D89=16,D91&gt;76,D91&lt;84),"10th-90th",IF(AND(D89=16,D91=84),"On 90th",IF(AND(D89=16,D91&gt;84,D91&lt;85.2),"90th-95th",IF(AND(D89=16,D91=85.2),"On 95th",IF(AND(D89=16,D91&gt;85.2),"&gt; 95th",IF(AND(D89=17,D91&lt;76),"&lt; 5th",IF(AND(D89=17,D91=76),"On 5th",IF(AND(D89=17,D91&gt;76,D91&lt;77),"5th-10th",IF(AND(D89=17,D91=77),"On 10th",IF(AND(D89=17,D91&gt;77,D91&lt;85),"10th-90th",IF(AND(D89=17,D91=85),"On 90th",IF(AND(D89=17,D91&gt;85,D91&lt;86.2),"90th-95th",IF(AND(D89=17,D91=86.2),"On 95th",IF(AND(D89=17,D91&gt;86.2),"&gt; 95th",IF(AND(D89=18,D91&lt;76.9),"&lt; 5th",IF(AND(D89=18,D91=76.9),"On 5th",IF(AND(D89=18,D91&gt;76.9,D91&lt;78),"5th-10th",IF(AND(D89=18,D91=78),"On 10th",IF(AND(D89=18,D91&gt;78,D91&lt;86),"10th-90th",IF(AND(D89=18,D91=86),"On 90th",IF(AND(D89=18,D91&gt;86,D91&lt;87.2),"90th-95th",IF(AND(D89=18,D91=87.2),"On 95th",IF(AND(D89=18,D91&gt;87.2),"&gt; 95th"))))))))))))))))))))))))))))))))))))))))))))))))))))))</f>
        <v>0</v>
      </c>
      <c r="E98" s="32" t="b">
        <f>IF(AND(D89=19,D91&lt;77.8),"&lt; 5th",IF(AND(D89=19,D91=77.8),"On 5th",IF(AND(D89=19,D91&gt;77.8,D91&lt;78.8),"5th-10th",IF(AND(D89=19,D91=78.8),"On 10th",IF(AND(D89=19,D91&gt;78.8,D91&lt;87),"10th-90th",IF(AND(D89=19,D91=87),"On 90th",IF(AND(D89=19,D91&gt;87,D91&lt;88.3),"90th-95th",IF(AND(D89=19,D91=88.3),"On 95th",IF(AND(D89=19,D91&gt;88.3),"&gt; 95th",IF(AND(D89=20,D91&lt;78.5),"&lt; 5th",IF(AND(D89=20,D91=78.5),"On 5th",IF(AND(D89=20,D91&gt;78.5,D91&lt;79.6),"5th-10th",IF(AND(D89=20,D91=79.6),"On 10th",IF(AND(D89=20,D91&gt;79.6,D91&lt;88),"10th-90th",IF(AND(D89=20,D91=88),"On 90th",IF(AND(D89=20,D91&gt;88,D91&lt;89.3),"90th-95th",IF(AND(D89=20,D91=89.3),"On 95th",IF(AND(D89=20,D91&gt;89.3),"&gt; 95th",IF(AND(D89=21,D91&lt;79.2),"&lt; 5th",IF(AND(D89=21,D91=79.2),"On 5th",IF(AND(D89=21,D91&gt;79.2,D91&lt;80.5),"5th-10th",IF(AND(D89=21,D91=80.5),"On 10th",IF(AND(D89=21,D91&gt;80.5,D91&lt;89),"10th-90th",IF(AND(D89=21,D91=89),"On 90th",IF(AND(D89=21,D91&gt;89,D91&lt;90.2),"90th-95th",IF(AND(D89=21,D91=90.2),"On 95th",IF(AND(D89=21,D91&gt;90.2),"&gt; 95th",IF(AND(D89=22,D91&lt;80),"&lt; 5th",IF(AND(D89=22,D91=80),"On 5th",IF(AND(D89=22,D91&gt;80,D91&lt;81.2),"5th-10th",IF(AND(D89=22,D91=81.2),"On 10th",IF(AND(D89=22,D91&gt;81.2,D91&lt;90),"10th-90th",IF(AND(D89=22,D91=90),"On 90th",IF(AND(D89=22,D91&gt;90,D91&lt;91.1),"90th-95th",IF(AND(D89=22,D91=91.1),"On 95th",IF(AND(D89=22,D91&gt;91.1),"&gt; 95th",IF(AND(D89=23,D91&lt;80.9),"&lt; 5th",IF(AND(D89=23,D91=80.9),"On 5th",IF(AND(D89=23,D91&gt;80.9,D91&lt;82),"5th-10th",IF(AND(D89=23,D91=82),"On 10th",IF(AND(D89=23,D91&gt;82,D91&lt;90.9),"10th-90th",IF(AND(D89=23,D91=90.9),"On 90th",IF(AND(D89=23,D91&gt;90.9,D91&lt;92),"90th-95th",IF(AND(D89=23,D91=92),"On 95th",IF(AND(D89=23,D91&gt;92),"&gt; 95th",IF(AND(D89=24,D91&lt;81.5),"&lt; 5th",IF(AND(D89=24,D91=81.5),"On 5th",IF(AND(D89=24,D91&gt;81.5,D91&lt;82.9),"5th-10th",IF(AND(D89=24,D91=82.9),"On 10th",IF(AND(D89=24,D91&gt;82.9,D91&lt;91.8),"10th-90th",IF(AND(D89=24,D91=91.8),"On 90th",IF(AND(D89=24,D91&gt;91.8,D91&lt;93),"90th-95th",IF(AND(D89=24,D91=93),"On 95th",IF(AND(D89=24,D91&gt;93),"&gt; 95th"))))))))))))))))))))))))))))))))))))))))))))))))))))))</f>
        <v>0</v>
      </c>
      <c r="F98" s="15"/>
      <c r="G98" s="15"/>
      <c r="H98" s="15"/>
      <c r="I98" s="15"/>
      <c r="J98" s="15"/>
      <c r="K98" s="15"/>
      <c r="L98" s="15"/>
      <c r="M98" s="15"/>
    </row>
    <row r="99" spans="1:15" ht="15.6" x14ac:dyDescent="0.3">
      <c r="A99" s="32" t="s">
        <v>62</v>
      </c>
      <c r="B99" s="32" t="b">
        <f>IF(AND(D89=1),"54.5",IF(AND(D89=2),"58",IF(AND(D89=3),"61",IF(AND(D89=4),"63",IF(AND(D89=5),"65",IF(AND(D89=6),"67"))))))</f>
        <v>0</v>
      </c>
      <c r="C99" s="32" t="b">
        <f>IF(AND(D89=7),"68.5",IF(AND(D89=8),"70",IF(AND(D89=9),"71.5",IF(AND(D89=10),"73",IF(AND(D89=11),"74",IF(AND(D89=12),"75.5"))))))</f>
        <v>0</v>
      </c>
      <c r="D99" s="32" t="b">
        <f>IF(AND(D89=13),"76.5",IF(AND(D89=14),"78",IF(AND(D89=15),"79",IF(AND(D89=16),"80",IF(AND(D89=17),"81",IF(AND(D89=18),"82"))))))</f>
        <v>0</v>
      </c>
      <c r="E99" s="32" t="b">
        <f>IF(AND(D89=19),"83",IF(AND(D89=20),"84",IF(AND(D89=21),"84.5",IF(AND(D89=22),"85.5",IF(AND(D89=23),"86.5",IF(AND(D89=24),"87"))))))</f>
        <v>0</v>
      </c>
      <c r="F99" s="15"/>
      <c r="G99" s="15"/>
      <c r="H99" s="15"/>
      <c r="I99" s="15"/>
      <c r="J99" s="15"/>
      <c r="K99" s="15"/>
      <c r="L99" s="15"/>
      <c r="M99" s="15"/>
    </row>
    <row r="100" spans="1:15" ht="15.6" x14ac:dyDescent="0.3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1:15" ht="14.55" customHeight="1" x14ac:dyDescent="0.3">
      <c r="A101" s="70" t="s">
        <v>58</v>
      </c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</row>
    <row r="102" spans="1:15" ht="14.55" customHeight="1" x14ac:dyDescent="0.3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</row>
    <row r="104" spans="1:15" ht="18" x14ac:dyDescent="0.35">
      <c r="C104" s="27" t="s">
        <v>65</v>
      </c>
      <c r="D104" s="76"/>
    </row>
    <row r="105" spans="1:15" ht="18" x14ac:dyDescent="0.35">
      <c r="C105" s="28" t="s">
        <v>23</v>
      </c>
      <c r="D105" s="77"/>
    </row>
    <row r="106" spans="1:15" ht="18" x14ac:dyDescent="0.35">
      <c r="C106" s="29" t="s">
        <v>63</v>
      </c>
      <c r="D106" s="78"/>
    </row>
    <row r="109" spans="1:15" ht="15.6" x14ac:dyDescent="0.3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1:15" ht="18" x14ac:dyDescent="0.35">
      <c r="A110" s="34"/>
      <c r="B110" s="34" t="s">
        <v>45</v>
      </c>
      <c r="C110" s="34" t="s">
        <v>46</v>
      </c>
      <c r="D110" s="34" t="s">
        <v>47</v>
      </c>
      <c r="E110" s="34" t="s">
        <v>48</v>
      </c>
      <c r="F110" s="34"/>
      <c r="G110" s="34"/>
      <c r="H110" s="34" t="s">
        <v>52</v>
      </c>
      <c r="I110" s="34" t="s">
        <v>53</v>
      </c>
      <c r="J110" s="34" t="s">
        <v>54</v>
      </c>
      <c r="K110" s="34" t="s">
        <v>59</v>
      </c>
      <c r="L110" s="34" t="s">
        <v>60</v>
      </c>
      <c r="M110" s="34" t="s">
        <v>61</v>
      </c>
      <c r="N110" s="34" t="s">
        <v>66</v>
      </c>
    </row>
    <row r="111" spans="1:15" ht="15.6" x14ac:dyDescent="0.3">
      <c r="A111" s="30" t="s">
        <v>49</v>
      </c>
      <c r="B111" s="30" t="b">
        <f>IF(AND(D104=1,D105&lt;3.2),"&lt; 5th",IF(AND(D104=1,D105=3.2),"On 5th",IF(AND(D104=1,D105&gt;3.2,D105&lt;3.4),"5th-10th",IF(AND(D104=1,D105=3.4),"On 10th",IF(AND(D104=1,D105&gt;3.4,D105&lt;4.9),"10th-90th",IF(AND(D104=1,D105=4.9),"On 90th",IF(AND(D104=1,D105&gt;4.9,D105&lt;5.1),"90th-95th",IF(AND(D104=1,D105=5.1),"On 95th",IF(AND(D104=1,D105&gt;5.1),"&gt; 95th",IF(AND(D104=2,D105&lt;3.8),"&lt; 5th",IF(AND(D104=2,D105=3.8),"On 5th",IF(AND(D104=2,D105&gt;3.8,D105&lt;4.1),"5th-10th",IF(AND(D104=2,D105=4.1),"On 10th",IF(AND(D104=2,D105&gt;4.1,D105&lt;5.7),"10th-90th",IF(AND(D104=2,D105=5.7),"On 90th",IF(AND(D104=2,D105&gt;5.7,D105&lt;5.9),"90th-95th",IF(AND(D104=2,D105=5.9),"On 95th",IF(AND(D104=2,D105&gt;5.9),"&gt; 95th",IF(AND(D104=3,D105&lt;4.4),"&lt; 5th",IF(AND(D104=3,D105=4.4),"On 5th",IF(AND(D104=3,D105&gt;4.4,D105&lt;4.7),"5th-10th",IF(AND(D104=3,D105=4.7),"On 10th",IF(AND(D104=3,D105&gt;4.7,D105&lt;6.4),"10th-90th",IF(AND(D104=3,D105=6.4),"On 90th",IF(AND(D104=3,D105&gt;6.4,D105&lt;6.7),"90th-95th",IF(AND(D104=3,D105=6.7),"On 95th",IF(AND(D104=3,D105&gt;6.7),"&gt; 95th",IF(AND(D104=4,D105&lt;5),"&lt; 5th",IF(AND(D104=4,D105=5),"On 5th",IF(AND(D104=4,D105&gt;5,D105&lt;5.2),"5th-10th",IF(AND(D104=4,D105=5.2),"On 10th",IF(AND(D104=4,D105&gt;5.2,D105&lt;7.1),"10th-90th",IF(AND(D104=4,D105=7.1),"On 90th",IF(AND(D104=4,D105&gt;7.1,D105&lt;7.4),"90th-95th",IF(AND(D104=4,D105=7.4),"On 95th",IF(AND(D104=4,D105&gt;7.4),"&gt; 95th",IF(AND(D104=5,D105&lt;5.5),"&lt; 5th",IF(AND(D104=5,D105=5.5),"On 5th",IF(AND(D104=5,D105&gt;5.5,D105&lt;5.7),"5th-10th",IF(AND(D104=5,D105=5.7),"On 10th",IF(AND(D104=5,D105&gt;5.7,D105&lt;7.8),"10th-90th",IF(AND(D104=5,D105=7.8),"On 90th",IF(AND(D104=5,D105&gt;7.8,D105&lt;8),"90th-95th",IF(AND(D104=5,D105=8),"On 95th",IF(AND(D104=5,D105&gt;8),"&gt; 95th",IF(AND(D104=6,D105&lt;5.9),"&lt; 5th",IF(AND(D104=6,D105=5.9),"On 5th",IF(AND(D104=6,D105&gt;5.9,D105&lt;6.2),"5th-10th",IF(AND(D104=6,D105=6.2),"On 10th",IF(AND(D104=6,D105&gt;6.2,D105&lt;8.3),"10th-90th",IF(AND(D104=6,D105=8.3),"On 90th",IF(AND(D104=6,D105&gt;8.3,D105&lt;8.7),"90th-95th",IF(AND(D104=6,D105=8.7),"On 95th",IF(AND(D104=6,D105&gt;8.7),"&gt; 95th"))))))))))))))))))))))))))))))))))))))))))))))))))))))</f>
        <v>0</v>
      </c>
      <c r="C111" s="30" t="b">
        <f>IF(AND(D104=7,D105&lt;6.3),"&lt; 5th",IF(AND(D104=7,D105=6.3),"On 5th",IF(AND(D104=7,D105&gt;6.3,D105&lt;6.6),"5th-10th",IF(AND(D104=7,D105=6.6),"On 10th",IF(AND(D104=7,D105&gt;6.6,D105&lt;8.9),"10th-90th",IF(AND(D104=7,D105=8.9),"On 90th",IF(AND(D104=7,D105&gt;8.9,D105&lt;9.2),"90th-95th",IF(AND(D104=7,D105=9.2),"On 95th",IF(AND(D104=7,D105&gt;9.2),"&gt; 95th",IF(AND(D104=8,D105&lt;6.7),"&lt; 5th",IF(AND(D104=8,D105=6.7),"On 5th",IF(AND(D104=8,D105&gt;6.7,D105&lt;7),"5th-10th",IF(AND(D104=8,D105=7),"On 10th",IF(AND(D104=8,D105&gt;7,D105&lt;9.3),"10th-90th",IF(AND(D104=8,D105=9.3),"On 90th",IF(AND(D104=8,D105&gt;9.3,D105&lt;9.7),"90th-95th",IF(AND(D104=8,D105=9.7),"On 95th",IF(AND(D104=8,D105&gt;9.7),"&gt; 95th",IF(AND(D104=9,D105&lt;7.1),"&lt; 5th",IF(AND(D104=9,D105=7.1),"On 5th",IF(AND(D104=9,D105&gt;7.1,D105&lt;7.4),"5th-10th",IF(AND(D104=9,D105=7.4),"On 10th",IF(AND(D104=9,D105&gt;7.4,D105&lt;9.8),"10th-90th",IF(AND(D104=9,D105=9.8),"On 90th",IF(AND(D104=9,D105&gt;9.8,D105&lt;10.2),"90th-95th",IF(AND(D104=9,D105=10.2),"On 95th",IF(AND(D104=9,D105&gt;10.2),"&gt; 95th",IF(AND(D104=10,D105&lt;7.4),"&lt; 5th",IF(AND(D104=10,D105=7.4),"On 5th",IF(AND(D104=10,D105&gt;7.4,D105&lt;7.7),"5th-10th",IF(AND(D104=10,D105=7.7),"On 10th",IF(AND(D104=10,D105&gt;7.7,D105&lt;10.2),"10th-90th",IF(AND(D104=10,D105=10.2),"On 90th",IF(AND(D104=10,D105&gt;10.2,D105&lt;10.6),"90th-95th",IF(AND(D104=10,D105=10.6),"On 95th",IF(AND(D104=10,D105&gt;10.6),"&gt; 95th",IF(AND(D104=11,D105&lt;7.7),"&lt; 5th",IF(AND(D104=11,D105=7.7),"On 5th",IF(AND(D104=11,D105&gt;7.7,D105&lt;8),"5th-10th",IF(AND(D104=11,D105=8),"On 10th",IF(AND(D104=11,D105&gt;8,D105&lt;10.6),"10th-90th",IF(AND(D104=11,D105=10.6),"On 90th",IF(AND(D104=11,D105&gt;10.6,D105&lt;11),"90th-95th",IF(AND(D104=11,D105=11),"On 95th",IF(AND(D104=11,D105&gt;11),"&gt; 95th",IF(AND(D104=12,D105&lt;8),"&lt; 5th",IF(AND(D104=12,D105=8),"On 5th",IF(AND(D104=12,D105&gt;8,D105&lt;8.3),"5th-10th",IF(AND(D104=12,D105=8.3),"On 10th",IF(AND(D104=12,D105&gt;8.3,D105&lt;10.9),"10th-90th",IF(AND(D104=12,D105=10.9),"On 90th",IF(AND(D104=12,D105&gt;10.9,D105&lt;11.4),"90th-95th",IF(AND(D104=12,D105=11.4),"On 95th",IF(AND(D104=12,D105&gt;11.4),"&gt; 95th"))))))))))))))))))))))))))))))))))))))))))))))))))))))</f>
        <v>0</v>
      </c>
      <c r="D111" s="30" t="b">
        <f>IF(AND(D104=13,D105&lt;8.2),"&lt; 5th",IF(AND(D104=13,D105=8.2),"On 5th",IF(AND(D104=13,D105&gt;8.2,D105&lt;8.6),"5th-10th",IF(AND(D104=13,D105=8.6),"On 10th",IF(AND(D104=13,D105&gt;8.6,D105&lt;11.3),"10th-90th",IF(AND(D104=13,D105=11.3),"On 90th",IF(AND(D104=13,D105&gt;11.3,D105&lt;11.7),"90th-95th",IF(AND(D104=13,D105=11.7),"On 95th",IF(AND(D104=13,D105&gt;11.7),"&gt; 95th",IF(AND(D104=14,D105&lt;8.5),"&lt; 5th",IF(AND(D104=14,D105=8.5),"On 5th",IF(AND(D104=14,D105&gt;8.5,D105&lt;8.8),"5th-10th",IF(AND(D104=14,D105=8.8),"On 10th",IF(AND(D104=14,D105&gt;8.8,D105&lt;11.6),"10th-90th",IF(AND(D104=14,D105=11.6),"On 90th",IF(AND(D104=14,D105&gt;11.6,D105&lt;12),"90th-95th",IF(AND(D104=14,D105=12),"On 95th",IF(AND(D104=14,D105&gt;12),"&gt; 95th",IF(AND(D104=15,D105&lt;8.7),"&lt; 5th",IF(AND(D104=15,D105=8.7),"On 5th",IF(AND(D104=15,D105&gt;8.7,D105&lt;9),"5th-10th",IF(AND(D104=15,D105=9),"On 10th",IF(AND(D104=15,D105&gt;9,D105&lt;11.8),"10th-90th",IF(AND(D104=15,D105=11.8),"On 90th",IF(AND(D104=15,D105&gt;11.8,D105&lt;12.4),"90th-95th",IF(AND(D104=15,D105=12.4),"On 95th",IF(AND(D104=15,D105&gt;12.4),"&gt; 95th",IF(AND(D104=16,D105&lt;8.9),"&lt; 5th",IF(AND(D104=16,D105=8.9),"On 5th",IF(AND(D104=16,D105&gt;8.9,D105&lt;9.3),"5th-10th",IF(AND(D104=16,D105=9.3),"On 10th",IF(AND(D104=16,D105&gt;9.3,D105&lt;12.1),"10th-90th",IF(AND(D104=16,D105=12.1),"On 90th",IF(AND(D104=16,D105&gt;12.1,D105&lt;12.6),"90th-95th",IF(AND(D104=16,D105=12.6),"On 95th",IF(AND(D104=16,D105&gt;12.6),"&gt; 95th",IF(AND(D104=17,D105&lt;9.1),"&lt; 5th",IF(AND(D104=17,D105=9.1),"On 5th",IF(AND(D104=17,D105&gt;9.1,D105&lt;9.5),"5th-10th",IF(AND(D104=17,D105=9.5),"On 10th",IF(AND(D104=17,D105&gt;9.5,D105&lt;12.4),"10th-90th",IF(AND(D104=17,D105=12.4),"On 90th",IF(AND(D104=17,D105&gt;12.4,D105&lt;12.9),"90th-95th",IF(AND(D104=17,D105=12.9),"On 95th",IF(AND(D104=17,D105&gt;12.9),"&gt; 95th",IF(AND(D104=18,D105&lt;9.3),"&lt; 5th",IF(AND(D104=18,D105=9.3),"On 5th",IF(AND(D104=18,D105&gt;9.3,D105&lt;9.6),"5th-10th",IF(AND(D104=18,D105=9.6),"On 10th",IF(AND(D104=18,D105&gt;9.6,D105&lt;12.6),"10th-90th",IF(AND(D104=18,D105=12.6),"On 90th",IF(AND(D104=18,D105&gt;12.6,D105&lt;13.2),"90th-95th",IF(AND(D104=18,D105=13.2),"On 95th",IF(AND(D104=18,D105&gt;13.2),"&gt; 95th"))))))))))))))))))))))))))))))))))))))))))))))))))))))</f>
        <v>0</v>
      </c>
      <c r="E111" s="30" t="b">
        <f>IF(AND(D104=19,D105&lt;9.5),"&lt; 5th",IF(AND(D104=19,D105=9.5),"On 5th",IF(AND(D104=19,D105&gt;9.5,D105&lt;9.8),"5th-10th",IF(AND(D104=19,D105=9.8),"On 10th",IF(AND(D104=19,D105&gt;9.8,D105&lt;12.9),"10th-90th",IF(AND(D104=19,D105=12.9),"On 90th",IF(AND(D104=19,D105&gt;12.9,D105&lt;13.4),"90th-95th",IF(AND(D104=19,D105=13.4),"On 95th",IF(AND(D104=19,D105&gt;13.4),"&gt; 95th",IF(AND(D104=20,D105&lt;9.6),"&lt; 5th",IF(AND(D104=20,D105=9.6),"On 5th",IF(AND(D104=20,D105&gt;9.6,D105&lt;10),"5th-10th",IF(AND(D104=20,D105=10),"On 10th",IF(AND(D104=20,D105&gt;10,D105&lt;13.1),"10th-90th",IF(AND(D104=20,D105=13.1),"On 90th",IF(AND(D104=20,D105&gt;13.1,D105&lt;13.6),"90th-95th",IF(AND(D104=20,D105=13.6),"On 95th",IF(AND(D104=20,D105&gt;13.6),"&gt; 95th",IF(AND(D104=21,D105&lt;9.8),"&lt; 5th",IF(AND(D104=21,D105=9.8),"On 5th",IF(AND(D104=21,D105&gt;9.8,D105&lt;10.1),"5th-10th",IF(AND(D104=21,D105=10.1),"On 10th",IF(AND(D104=21,D105&gt;10.1,D105&lt;13.3),"10th-90th",IF(AND(D104=21,D105=13.3),"On 90th",IF(AND(D104=21,D105&gt;13.3,D105&lt;13.9),"90th-95th",IF(AND(D104=21,D105=13.9),"On 95th",IF(AND(D104=21,D105&gt;13.9),"&gt; 95th",IF(AND(D104=22,D105&lt;9.9),"&lt; 5th",IF(AND(D104=22,D105=9.9),"On 5th",IF(AND(D104=22,D105&gt;9.9,D105&lt;10.3),"5th-10th",IF(AND(D104=22,D105=10.3),"On 10th",IF(AND(D104=22,D105&gt;10.3,D105&lt;13.5),"10th-90th",IF(AND(D104=22,D105=13.5),"On 90th",IF(AND(D104=22,D105&gt;13.5,D105&lt;14.1),"90th-95th",IF(AND(D104=22,D105=14.1),"On 95th",IF(AND(D104=22,D105&gt;14.1),"&gt; 95th",IF(AND(D104=23,D105&lt;10.1),"&lt; 5th",IF(AND(D104=23,D105=10.1),"On 5th",IF(AND(D104=23,D105&gt;10.1,D105&lt;10.4),"5th-10th",IF(AND(D104=23,D105=10.4),"On 10th",IF(AND(D104=23,D105&gt;10.4,D105&lt;13.7),"10th-90th",IF(AND(D104=23,D105=13.7),"On 90th",IF(AND(D104=23,D105&gt;13.7,D105&lt;14.4),"90th-95th",IF(AND(D104=23,D105=14.4),"On 95th",IF(AND(D104=23,D105&gt;14.4),"&gt; 95th",IF(AND(D104=24,D105&lt;10.2),"&lt; 5th",IF(AND(D104=24,D105=10.2),"On 5th",IF(AND(D104=24,D105&gt;10.2,D105&lt;10.6),"5th-10th",IF(AND(D104=24,D105=10.6),"On 10th",IF(AND(D104=24,D105&gt;10.6,D105&lt;13.9),"10th-90th",IF(AND(D104=24,D105=13.9),"On 90th",IF(AND(D104=24,D105&gt;13.9,D105&lt;14.6),"90th-95th",IF(AND(D104=24,D105=14.6),"On 95th",IF(AND(D104=24,D105&gt;14.6),"&gt; 95th"))))))))))))))))))))))))))))))))))))))))))))))))))))))</f>
        <v>0</v>
      </c>
      <c r="F111" s="15"/>
      <c r="G111" s="31" t="s">
        <v>55</v>
      </c>
      <c r="H111" s="31" t="b">
        <f>IF(AND(D106=46,D105&lt;1.9),"&lt; 5th",IF(AND(D106=46,D105=1.9),"On 5th",IF(AND(D106=46,D105&gt;1.9,D105&lt;2),"5th-10th",IF(AND(D106=46,D105=2),"On 10th",IF(AND(D106=46,D105&gt;2,D105&lt;3),"10th-90th",IF(AND(D106=46,D105=3),"On 90th",IF(AND(D106=46,D105&gt;3,D105&lt;3.2),"90th-95th",IF(AND(D106=46,D105=3.2),"On 95th",IF(AND(D106=46,D105&gt;3.2),"&gt; 95th",IF(AND(D106=47,D105&lt;2.2),"&lt; 5th",IF(AND(D106=47,D105=2.2),"On 5th",IF(AND(D106=47,D105&gt;2.2,D105&lt;2.3),"5th-10th",IF(AND(D106=47,D105=2.3),"On 10th",IF(AND(D106=47,D105&gt;2.3,D105&lt;3.2),"10th-90th",IF(AND(D106=47,D105=3.2),"On 90th",IF(AND(D106=47,D106&gt;3.2,D105&lt;3.3),"90th-95th",IF(AND(D106=47,D105=3.3),"On 95th",IF(AND(D106=47,D105&gt;3.3),"&gt; 95th",IF(AND(D106=48,D105&lt;2.4),"&lt; 5th",IF(AND(D106=48,D105=2.4),"On 5th",IF(AND(D106=48,D105&gt;2.4,D105&lt;2.5),"5th-10th",IF(AND(D106=48,D105=2.5),"On 10th",IF(AND(D106=48,D105&gt;2.5,D105&lt;3.4),"10th-90th",IF(AND(D106=48,D105=3.4),"On 90th",IF(AND(D106=48,D105&gt;3.4,D105&lt;3.5),"90th-95th",IF(AND(D106=48,D105=3.5),"On 95th",IF(AND(D106=48,D105&gt;3.5),"&gt; 95th",IF(AND(D106=49,D105&lt;2.6),"&lt; 5th",IF(AND(D106=49,D105=2.6),"On 5th",IF(AND(D106=49,D105&gt;2.6,D105&lt;2.7),"5th-10th",IF(AND(D106=49,D105=2.7),"On 10th",IF(AND(D106=49,D105&gt;2.7,D105&lt;3.6),"10th-90th",IF(AND(D106=49,D105=3.6),"On 90th",IF(AND(D106=49,D105&gt;3.6,D105&lt;3.7),"90th-95th",IF(AND(D106=49,D105=3.7),"On 95th",IF(AND(D106=49,D105&gt;3.7),"&gt; 95th",IF(AND(D106=50,D105&lt;2.8),"&lt; 5th",IF(AND(D106=50,D105=2.8),"On 5th",IF(AND(D106=50,D105&gt;2.8,D105&lt;2.9),"5th-10th",IF(AND(D106=50,D105=2.9),"On 10th",IF(AND(D106=50,D105&gt;2.9,D105&lt;3.9),"10th-90th",IF(AND(D106=50,D105=3.9),"On 90th",IF(AND(D106=50,D105&gt;3.9,D105&lt;4),"90th-95th",IF(AND(D106=50,D105=4),"On 95th",IF(AND(D106=50,D105&gt;4),"&gt; 95th",IF(AND(D106=51,D105&lt;3),"&lt; 5th",IF(AND(D106=51,D105=3),"On 5th",IF(AND(D106=51,D105&gt;3,D105&lt;3.2),"5th-10th",IF(AND(D106=51,D105=3.2),"On 10th",IF(AND(D106=51,D105&gt;3.2,D105&lt;4.2),"10th-90th",IF(AND(D106=51,D105=4.2),"On 90th",IF(AND(D106=51,D105&gt;4.2,D105&lt;4.3),"90th-95th",IF(AND(D106=51,D105=4.3),"On 95th",IF(AND(D106=51,D105&gt;4.3),"&gt; 95th",IF(AND(D106=52,D105&lt;3.3),"&lt; 5th",IF(AND(D106=52,D105=3.3),"On 5th",IF(AND(D106=52,D105&gt;3.3,D105&lt;3.4),"5th-10th",IF(AND(D106=52,D105=3.4),"On 10th",IF(AND(D106=52,D105&gt;3.4,D105&lt;4.4),"10th-90th",IF(AND(D106=52,D105=4.4),"On 90th",IF(AND(D106=52,D105&gt;4.4,D105&lt;4.5),"90th-95th",IF(AND(D106=52,D105=4.5),"On 95th",IF(AND(D106=52,D105&gt;4.5),"&gt; 95th")))))))))))))))))))))))))))))))))))))))))))))))))))))))))))))))</f>
        <v>0</v>
      </c>
      <c r="I111" s="31" t="b">
        <f>IF(AND(D106=53,D105&lt;3.5),"&lt; 5th",IF(AND(D106=53,D105=3.5),"On 5th",IF(AND(D106=53,D105&gt;3.5,D105&lt;3.6),"5th-10th",IF(AND(D106=53,D105=3.6),"On 10th",IF(AND(D106=53,D105&gt;3.6,D105&lt;4.6),"10th-90th",IF(AND(D106=53,D105=4.6),"On 90th",IF(AND(D106=53,D105&gt;4.6,D105&lt;4.8),"90th-95th",IF(AND(D106=53,D105=4.8),"On 95th",IF(AND(D106=53,D105&gt;4.8),"&gt; 95th",IF(AND(D106=54,D105&lt;3.7),"&lt; 5th",IF(AND(D106=54,D105=3.7),"On 5th",IF(AND(D106=54,D105&gt;3.7,D105&lt;3.9),"5th-10th",IF(AND(D106=54,D105=3.9),"On 10th",IF(AND(D106=54,D105&gt;3.9,D105&lt;4.9),"10th-90th",IF(AND(D106=54,D105=4.9),"On 90th",IF(AND(D106=54,D106&gt;4.9,D105&lt;5.1),"90th-95th",IF(AND(D106=54,D105=5.1),"On 95th",IF(AND(D106=54,D105&gt;5.1),"&gt; 95th",IF(AND(D106=55,D105&lt;4),"&lt; 5th",IF(AND(D106=55,D105=4),"On 5th",IF(AND(D106=55,D105&gt;4,D105&lt;4.1),"5th-10th",IF(AND(D106=55,D105=4.1),"On 10th",IF(AND(D106=55,D105&gt;4.1,D105&lt;5.2),"10th-90th",IF(AND(D106=55,D105=5.2),"On 90th",IF(AND(D106=55,D105&gt;5.2,D105&lt;5.4),"90th-95th",IF(AND(D106=55,D105=5.4),"On 95th",IF(AND(D106=55,D105&gt;5.4),"&gt; 95th",IF(AND(D106=56,D105&lt;4.2),"&lt; 5th",IF(AND(D106=56,D105=4.2),"On 5th",IF(AND(D106=56,D105&gt;4.2,D105&lt;4.3),"5th-10th",IF(AND(D106=56,D105=4.3),"On 10th",IF(AND(D106=56,D105&gt;4.3,D105&lt;5.5),"10th-90th",IF(AND(D106=56,D105=5.5),"On 90th",IF(AND(D106=56,D105&gt;5.5,D105&lt;5.7),"90th-95th",IF(AND(D106=56,D105=5.7),"On 95th",IF(AND(D106=56,D105&gt;5.7),"&gt; 95th",IF(AND(D106=57,D105&lt;4.4),"&lt; 5th",IF(AND(D106=57,D105=4.4),"On 5th",IF(AND(D106=57,D105&gt;4.4,D105&lt;4.5),"5th-10th",IF(AND(D106=57,D105=4.5),"On 10th",IF(AND(D106=57,D105&gt;4.5,D105&lt;5.8),"10th-90th",IF(AND(D106=57,D105=5.8),"On 90th",IF(AND(D106=57,D105&gt;5.8,D105&lt;6),"90th-95th",IF(AND(D106=57,D105=6),"On 95th",IF(AND(D106=57,D105&gt;6),"&gt; 95th",IF(AND(D106=58,D105&lt;4.6),"&lt; 5th",IF(AND(D106=58,D105=4.6),"On 5th",IF(AND(D106=58,D105&gt;4.6,D105&lt;4.8),"5th-10th",IF(AND(D106=58,D105=4.8),"On 10th",IF(AND(D106=58,D105&gt;4.8,D105&lt;6),"10th-90th",IF(AND(D106=58,D105=6),"On 90th",IF(AND(D106=58,D105&gt;6,D105&lt;6.3),"90th-95th",IF(AND(D106=58,D105=6.3),"On 95th",IF(AND(D106=58,D105&gt;6.3),"&gt; 95th",IF(AND(D106=59,D105&lt;4.9),"&lt; 5th",IF(AND(D106=59,D105=4.9),"On 5th",IF(AND(D106=59,D105&gt;4.9,D105&lt;5),"5th-10th",IF(AND(D106=59,D105=5),"On 10th",IF(AND(D106=59,D105&gt;5,D105&lt;6.3),"10th-90th",IF(AND(D106=59,D105=6.3),"On 90th",IF(AND(D106=59,D105&gt;6.3,D105&lt;6.6),"90th-95th",IF(AND(D106=59,D105=6.6),"On 95th",IF(AND(D106=59,D105&gt;6.6),"&gt; 95th")))))))))))))))))))))))))))))))))))))))))))))))))))))))))))))))</f>
        <v>0</v>
      </c>
      <c r="J111" s="31" t="b">
        <f>IF(AND(D106=60,D105&lt;5.1),"&lt; 5th",IF(AND(D106=60,D105=5.1),"On 5th",IF(AND(D106=60,D105&gt;5.1,D105&lt;5.2),"5th-10th",IF(AND(D106=60,D105=5.2),"On 10th",IF(AND(D106=60,D105&gt;5.2,D105&lt;6.6),"10th-90th",IF(AND(D106=60,D105=6.6),"On 90th",IF(AND(D106=60,D105&gt;6.6,D105&lt;6.9),"90th-95th",IF(AND(D106=60,D105=6.9),"On 95th",IF(AND(D106=60,D105&gt;6.9),"&gt; 95th",IF(AND(D106=61,D105&lt;5.3),"&lt; 5th",IF(AND(D106=61,D105=5.3),"On 5th",IF(AND(D106=61,D105&gt;5.3,D105&lt;5.5),"5th-10th",IF(AND(D106=61,D105=5.5),"On 10th",IF(AND(D106=61,D105&gt;5.5,D105&lt;6.9),"10th-90th",IF(AND(D106=61,D105=6.9),"On 90th",IF(AND(D106=61,D106&gt;6.9,D105&lt;7.2),"90th-95th",IF(AND(D106=61,D105=7.2),"On 95th",IF(AND(D106=61,D105&gt;7.2),"&gt; 95th",IF(AND(D106=62,D105&lt;5.6),"&lt; 5th",IF(AND(D106=62,D105=5.6),"On 5th",IF(AND(D106=62,D105&gt;5.6,D105&lt;5.7),"5th-10th",IF(AND(D106=62,D105=5.7),"On 10th",IF(AND(D106=62,D105&gt;5.7,D105&lt;7.2),"10th-90th",IF(AND(D106=62,D105=7.2),"On 90th",IF(AND(D106=62,D105&gt;7.2,D105&lt;7.5),"90th-95th",IF(AND(D106=62,D105=7.5),"On 95th",IF(AND(D106=62,D105&gt;7.5),"&gt; 95th",IF(AND(D106=63,D105&lt;5.8),"&lt; 5th",IF(AND(D106=63,D105=5.8),"On 5th",IF(AND(D106=63,D105&gt;5.8,D105&lt;5.9),"5th-10th",IF(AND(D106=63,D105=5.9),"On 10th",IF(AND(D106=63,D105&gt;5.9,D105&lt;7.5),"10th-90th",IF(AND(D106=63,D105=7.5),"On 90th",IF(AND(D106=63,D105&gt;7.5,D105&lt;7.8),"90th-95th",IF(AND(D106=63,D105=7.8),"On 95th",IF(AND(D106=63,D105&gt;7.8),"&gt; 95th",IF(AND(D106=64,D105&lt;6),"&lt; 5th",IF(AND(D106=64,D105=6),"On 5th",IF(AND(D106=64,D105&gt;6,D105&lt;6.2),"5th-10th",IF(AND(D106=64,D105=6.2),"On 10th",IF(AND(D106=64,D105&gt;6.2,D105&lt;7.8),"10th-90th",IF(AND(D106=64,D105=7.8),"On 90th",IF(AND(D106=64,D105&gt;7.8,D105&lt;8.1),"90th-95th",IF(AND(D106=64,D105=8.1),"On 95th",IF(AND(D106=64,D105&gt;8.1),"&gt; 95th",IF(AND(D106=65,D105&lt;6.2),"&lt; 5th",IF(AND(D106=65,D105=6.2),"On 5th",IF(AND(D106=65,D105&gt;6.2,D105&lt;6.4),"5th-10th",IF(AND(D106=65,D105=6.4),"On 10th",IF(AND(D106=65,D105&gt;6.4,D105&lt;8),"10th-90th",IF(AND(D106=65,D105=8),"On 90th",IF(AND(D106=65,D105&gt;8,D105&lt;8.4),"90th-95th",IF(AND(D106=65,D105=8.4),"On 95th",IF(AND(D106=65,D105&gt;8.4),"&gt; 95th",IF(AND(D106=66,D105&lt;6.4),"&lt; 5th",IF(AND(D106=66,D105=6.4),"On 5th",IF(AND(D106=66,D105&gt;6.4,D105&lt;6.6),"5th-10th",IF(AND(D106=66,D105=6.6),"On 10th",IF(AND(D106=66,D105&gt;6.6,D105&lt;8.3),"10th-90th",IF(AND(D106=66,D105=8.3),"On 90th",IF(AND(D106=66,D105&gt;8.3,D105&lt;8.6),"90th-95th",IF(AND(D106=66,D105=8.6),"On 95th",IF(AND(D106=66,D105&gt;8.6),"&gt; 95th")))))))))))))))))))))))))))))))))))))))))))))))))))))))))))))))</f>
        <v>0</v>
      </c>
      <c r="K111" s="31" t="b">
        <f>IF(AND(D106=67,D105&lt;6.6),"&lt; 5th",IF(AND(D106=67,D105=6.6),"On 5th",IF(AND(D106=67,D105&gt;6.6,D105&lt;6.8),"5th-10th",IF(AND(D106=67,D105=6.8),"On 10th",IF(AND(D106=67,D105&gt;6.8,D105&lt;8.6),"10th-90th",IF(AND(D106=67,D105=8.6),"On 90th",IF(AND(D106=67,D105&gt;8.6,D105&lt;8.9),"90th-95th",IF(AND(D106=67,D105=8.9),"On 95th",IF(AND(D106=67,D105&gt;8.9),"&gt; 95th",IF(AND(D106=68,D105&lt;6.8),"&lt; 5th",IF(AND(D106=68,D105=6.8),"On 5th",IF(AND(D106=68,D105&gt;6.8,D105&lt;7),"5th-10th",IF(AND(D106=68,D105=7),"On 10th",IF(AND(D106=68,D105&gt;7,D105&lt;8.8),"10th-90th",IF(AND(D106=68,D105=8.8),"On 90th",IF(AND(D106=68,D106&gt;8.8,D105&lt;9.2),"90th-95th",IF(AND(D106=68,D105=9.2),"On 95th",IF(AND(D106=68,D105&gt;9.2),"&gt; 95th",IF(AND(D106=69,D105&lt;7),"&lt; 5th",IF(AND(D106=69,D105=7),"On 5th",IF(AND(D106=69,D105&gt;7,D105&lt;7.2),"5th-10th",IF(AND(D106=69,D105=7.2),"On 10th",IF(AND(D106=69,D105&gt;7.2,D105&lt;9.1),"10th-90th",IF(AND(D106=69,D105=9.1),"On 90th",IF(AND(D106=69,D105&gt;9.1,D105&lt;9.4),"90th-95th",IF(AND(D106=69,D105=9.4),"On 95th",IF(AND(D106=69,D105&gt;9.4),"&gt; 95th",IF(AND(D106=70,D105&lt;7.3),"&lt; 5th",IF(AND(D106=70,D105=7.3),"On 5th",IF(AND(D106=70,D105&gt;7.3,D105&lt;7.5),"5th-10th",IF(AND(D106=70,D105=7.5),"On 10th",IF(AND(D106=70,D105&gt;7.5,D105&lt;9.4),"10th-90th",IF(AND(D106=70,D105=9.4),"On 90th",IF(AND(D106=70,D105&gt;9.4,D105&lt;9.7),"90th-95th",IF(AND(D106=70,D105=9.7),"On 95th",IF(AND(D106=70,D105&gt;9.7),"&gt; 95th",IF(AND(D106=71,D105&lt;7.5),"&lt; 5th",IF(AND(D106=71,D105=7.5),"On 5th",IF(AND(D106=71,D105&gt;7.5,D105&lt;7.7),"5th-10th",IF(AND(D106=71,D105=7.7),"On 10th",IF(AND(D106=71,D105&gt;7.7,D105&lt;9.6),"10th-90th",IF(AND(D106=71,D105=9.6),"On 90th",IF(AND(D106=71,D105&gt;9.6,D105&lt;10),"90th-95th",IF(AND(D106=71,D105=10),"On 95th",IF(AND(D106=71,D105&gt;10),"&gt; 95th",IF(AND(D106=72,D105&lt;7.7),"&lt; 5th",IF(AND(D106=72,D105=7.7),"On 5th",IF(AND(D106=72,D105&gt;7.7,D105&lt;7.9),"5th-10th",IF(AND(D106=72,D105=7.9),"On 10th",IF(AND(D106=72,D105&gt;7.9,D105&lt;9.9),"10th-90th",IF(AND(D106=72,D105=9.9),"On 90th",IF(AND(D106=72,D105&gt;9.9,D105&lt;10.2),"90th-95th",IF(AND(D106=72,D105=10.2),"On 95th",IF(AND(D106=72,D105&gt;10.2),"&gt; 95th",IF(AND(D106=73,D105&lt;7.9),"&lt; 5th",IF(AND(D106=73,D105=7.9),"On 5th",IF(AND(D106=73,D105&gt;7.9,D105&lt;8.1),"5th-10th",IF(AND(D106=73,D105=8.1),"On 10th",IF(AND(D106=73,D105&gt;8.1,D105&lt;10.1),"10th-90th",IF(AND(D106=73,D105=10.1),"On 90th",IF(AND(D106=73,D105&gt;10.1,D105&lt;10.5),"90th-95th",IF(AND(D106=73,D105=10.5),"On 95th",IF(AND(D106=73,D105&gt;10.5),"&gt; 95th")))))))))))))))))))))))))))))))))))))))))))))))))))))))))))))))</f>
        <v>0</v>
      </c>
      <c r="L111" s="31" t="b">
        <f>IF(AND(D106=74,D105&lt;8.1),"&lt; 5th",IF(AND(D106=74,D105=8.1),"On 5th",IF(AND(D106=74,D105&gt;8.1,D105&lt;8.3),"5th-10th",IF(AND(D106=74,D105=8.3),"On 10th",IF(AND(D106=74,D105&gt;8.3,D105&lt;10.4),"10th-90th",IF(AND(D106=74,D105=10.4),"On 90th",IF(AND(D106=74,D105&gt;10.4,D105&lt;10.8),"90th-95th",IF(AND(D106=74,D105=10.8),"On 95th",IF(AND(D106=74,D105&gt;10.8),"&gt; 95th",IF(AND(D106=75,D105&lt;8.3),"&lt; 5th",IF(AND(D106=75,D105=8.3),"On 5th",IF(AND(D106=75,D105&gt;8.3,D105&lt;8.5),"5th-10th",IF(AND(D106=75,D105=8.5),"On 10th",IF(AND(D106=75,D105&gt;8.5,D105&lt;10.6),"10th-90th",IF(AND(D106=75,D105=10.6),"On 90th",IF(AND(D106=75,D106&gt;10.6,D105&lt;11),"90th-95th",IF(AND(D106=75,D105=11),"On 95th",IF(AND(D106=75,D105&gt;11),"&gt; 95th",IF(AND(D106=76,D105&lt;8.5),"&lt; 5th",IF(AND(D106=76,D105=8.5),"On 5th",IF(AND(D106=76,D105&gt;8.5,D105&lt;8.8),"5th-10th",IF(AND(D106=76,D105=8.8),"On 10th",IF(AND(D106=76,D105&gt;8.8,D105&lt;10.8),"10th-90th",IF(AND(D106=76,D105=10.8),"On 90th",IF(AND(D106=76,D105&gt;10.8,D105&lt;11.2),"90th-95th",IF(AND(D106=76,D105=11.2),"On 95th",IF(AND(D106=76,D105&gt;11.2),"&gt; 95th",IF(AND(D106=77,D105&lt;8.7),"&lt; 5th",IF(AND(D106=77,D105=8.7),"On 5th",IF(AND(D106=77,D105&gt;8.7,D105&lt;9),"5th-10th",IF(AND(D106=77,D105=9),"On 10th",IF(AND(D106=77,D105&gt;9,D105&lt;11.1),"10th-90th",IF(AND(D106=77,D105=11.1),"On 90th",IF(AND(D106=77,D105&gt;11.1,D105&lt;11.5),"90th-95th",IF(AND(D106=77,D105=11.5),"On 95th",IF(AND(D106=77,D105&gt;11.5),"&gt; 95th",IF(AND(D106=78,D105&lt;8.9),"&lt; 5th",IF(AND(D106=78,D105=8.9),"On 5th",IF(AND(D106=78,D105&gt;8.9,D105&lt;9.2),"5th-10th",IF(AND(D106=78,D105=9.2),"On 10th",IF(AND(D106=78,D105&gt;9.2,D105&lt;11.3),"10th-90th",IF(AND(D106=78,D105=11.3),"On 90th",IF(AND(D106=78,D105&gt;11.3,D105&lt;11.7),"90th-95th",IF(AND(D106=78,D105=11.7),"On 95th",IF(AND(D106=78,D105&gt;11.7),"&gt; 95th",IF(AND(D106=79,D105&lt;9.1),"&lt; 5th",IF(AND(D106=79,D105=9.1),"On 5th",IF(AND(D106=79,D105&gt;9.1,D105&lt;9.4),"5th-10th",IF(AND(D106=79,D105=9.4),"On 10th",IF(AND(D106=79,D105&gt;9.4,D105&lt;11.5),"10th-90th",IF(AND(D106=79,D105=11.5),"On 90th",IF(AND(D106=79,D105&gt;11.5,D105&lt;12),"90th-95th",IF(AND(D106=79,D105=12),"On 95th",IF(AND(D106=79,D105&gt;12),"&gt; 95th",IF(AND(D106=80,D105&lt;9.3),"&lt; 5th",IF(AND(D106=80,D105=9.3),"On 5th",IF(AND(D106=80,D105&gt;9.3,D105&lt;9.6),"5th-10th",IF(AND(D106=80,D105=9.6),"On 10th",IF(AND(D106=80,D105&gt;9.6,D105&lt;11.8),"10th-90th",IF(AND(D106=80,D105=11.8),"On 90th",IF(AND(D106=80,D105&gt;11.8,D105&lt;12.2),"90th-95th",IF(AND(D106=80,D105=12.2),"On 95th",IF(AND(D106=80,D105&gt;12.2),"&gt; 95th")))))))))))))))))))))))))))))))))))))))))))))))))))))))))))))))</f>
        <v>0</v>
      </c>
      <c r="M111" s="31" t="b">
        <f>IF(AND(D106=81,D105&lt;9.5),"&lt; 5th",IF(AND(D106=81,D105=9.5),"On 5th",IF(AND(D106=81,D105&gt;9.5,D105&lt;9.8),"5th-10th",IF(AND(D106=81,D105=9.8),"On 10th",IF(AND(D106=81,D105&gt;9.8,D105&lt;12),"10th-90th",IF(AND(D106=81,D105=12),"On 90th",IF(AND(D106=81,D105&gt;12,D105&lt;12.4),"90th-95th",IF(AND(D106=81,D105=12.4),"On 95th",IF(AND(D106=81,D105&gt;12.4),"&gt; 95th",IF(AND(D106=82,D105&lt;9.7),"&lt; 5th",IF(AND(D106=82,D105=9.7),"On 5th",IF(AND(D106=82,D105&gt;9.7,D105&lt;10),"5th-10th",IF(AND(D106=82,D105=10),"On 10th",IF(AND(D106=82,D105&gt;10,D105&lt;12.3),"10th-90th",IF(AND(D106=82,D105=12.3),"On 90th",IF(AND(D106=82,D106&gt;12.3,D105&lt;12.6),"90th-95th",IF(AND(D106=82,D105=12.6),"On 95th",IF(AND(D106=82,D105&gt;12.6),"&gt; 95th",IF(AND(D106=83,D105&lt;9.9),"&lt; 5th",IF(AND(D106=83,D105=9.9),"On 5th",IF(AND(D106=83,D105&gt;9.9,D105&lt;10.2),"5th-10th",IF(AND(D106=83,D105=10.2),"On 10th",IF(AND(D106=83,D105&gt;10.2,D105&lt;12.5),"10th-90th",IF(AND(D106=83,D105=12.5),"On 90th",IF(AND(D106=83,D105&gt;12.5,D105&lt;12.9),"90th-95th",IF(AND(D106=83,D105=12.9),"On 95th",IF(AND(D106=83,D105&gt;12.9),"&gt; 95th",IF(AND(D106=84,D105&lt;10.2),"&lt; 5th",IF(AND(D106=84,D105=10.2),"On 5th",IF(AND(D106=84,D105&gt;10.2,D105&lt;10.4),"5th-10th",IF(AND(D106=84,D105=10.4),"On 10th",IF(AND(D106=84,D105&gt;10.4,D105&lt;12.8),"10th-90th",IF(AND(D106=84,D105=12.8),"On 90th",IF(AND(D106=84,D105&gt;12.8,D105&lt;13.2),"90th-95th",IF(AND(D106=84,D105=13.2),"On 95th",IF(AND(D106=84,D105&gt;13.2),"&gt; 95th",IF(AND(D106=85,D105&lt;10.4),"&lt; 5th",IF(AND(D106=85,D105=10.4),"On 5th",IF(AND(D106=85,D105&gt;10.4,D105&lt;10.6),"5th-10th",IF(AND(D106=85,D105=10.6),"On 10th",IF(AND(D106=85,D105&gt;10.6,D105&lt;13),"10th-90th",IF(AND(D106=85,D105=13),"On 90th",IF(AND(D106=85,D105&gt;13,D105&lt;13.4),"90th-95th",IF(AND(D106=85,D105=13.4),"On 95th",IF(AND(D106=85,D105&gt;13.4),"&gt; 95th",IF(AND(D106=86,D105&lt;10.6),"&lt; 5th",IF(AND(D106=86,D105=10.6),"On 5th",IF(AND(D106=86,D105&gt;10.6,D105&lt;10.8),"5th-10th",IF(AND(D106=86,D105=10.8),"On 10th",IF(AND(D106=86,D105&gt;10.8,D105&lt;13.2),"10th-90th",IF(AND(D106=86,D105=13.2),"On 90th",IF(AND(D106=86,D105&gt;13.2,D105&lt;13.6),"90th-95th",IF(AND(D106=86,D105=13.6),"On 95th",IF(AND(D106=86,D105&gt;13.6),"&gt; 95th",IF(AND(D106=87,D105&lt;10.8),"&lt; 5th",IF(AND(D106=87,D105=10.8),"On 5th",IF(AND(D106=87,D105&gt;10.8,D105&lt;11),"5th-10th",IF(AND(D106=87,D105=11),"On 10th",IF(AND(D106=87,D105&gt;11,D105&lt;13.5),"10th-90th",IF(AND(D106=87,D105=13.5),"On 90th",IF(AND(D106=87,D105&gt;13.5,D105&lt;13.9),"90th-95th",IF(AND(D106=87,D105=13.9),"On 95th",IF(AND(D106=87,D105&gt;13.9),"&gt; 95th")))))))))))))))))))))))))))))))))))))))))))))))))))))))))))))))</f>
        <v>0</v>
      </c>
      <c r="N111" s="36" t="b">
        <f>IF(AND(D106=88,D105&lt;11),"&lt; 5th",IF(AND(D106=88,D105=11),"On 5th",IF(AND(D106=88,D105&gt;11,D105&lt;11.2),"5th-10th",IF(AND(D106=88,D105=11.2),"On 10th",IF(AND(D106=88,D105&gt;11.2,D105&lt;13.7),"10th-90th",IF(AND(D106=88,D105=13.7),"On 90th",IF(AND(D106=88,D105&gt;13.7,D105&lt;14.2),"90th-95th",IF(AND(D106=88,D105=14.2),"On 95th",IF(AND(D106=88,D105&gt;14.2),"&gt; 95th",IF(AND(D106=89,D105&lt;11.2),"&lt; 5th",IF(AND(D106=89,D105=11.2),"On 5th",IF(AND(D106=89,D105&gt;11.2,D105&lt;11.4),"5th-10th",IF(AND(D106=89,D105=11.4),"On 10th",IF(AND(D106=89,D105&gt;11.4,D105&lt;14),"10th-90th",IF(AND(D106=89,D105=14),"On 90th",IF(AND(D106=89,D106&gt;14,D105&lt;14.4),"90th-95th",IF(AND(D106=89,D105=14.4),"On 95th",IF(AND(D106=89,D105&gt;14.4),"&gt; 95th",IF(AND(D106=90,D105&lt;11.4),"&lt; 5th",IF(AND(D106=90,D105=11.4),"On 5th",IF(AND(D106=90,D105&gt;11.4,D105&lt;11.6),"5th-10th",IF(AND(D106=90,D105=11.6),"On 10th",IF(AND(D106=90,D105&gt;11.6,D105&lt;14.2),"10th-90th",IF(AND(D106=90,D105=14.2),"On 90th",IF(AND(D106=90,D105&gt;14.2,D105&lt;14.7),"90th-95th",IF(AND(D106=90,D105=14.7),"On 95th",IF(AND(D106=90,D105&gt;14.7),"&gt; 95th",IF(AND(D106=91,D105&lt;11.6),"&lt; 5th",IF(AND(D106=91,D105=11.6),"On 5th",IF(AND(D106=91,D105&gt;11.6,D105&lt;11.9),"5th-10th",IF(AND(D106=91,D105=11.9),"On 10th",IF(AND(D106=91,D105&gt;11.9,D105&lt;14.5),"10th-90th",IF(AND(D106=91,D105=14.5),"On 90th",IF(AND(D106=91,D105&gt;14.5,D105&lt;15),"90th-95th",IF(AND(D106=91,D105=15),"On 95th",IF(AND(D106=91,D105&gt;15),"&gt; 95th",IF(AND(D106=92,D105&lt;11.8),"&lt; 5th",IF(AND(D106=92,D105=11.8),"On 5th",IF(AND(D106=92,D105&gt;11.8,D105&lt;12.1),"5th-10th",IF(AND(D106=92,D105=12.1),"On 10th",IF(AND(D106=92,D105&gt;12.1,D105&lt;14.8),"10th-90th",IF(AND(D106=92,D105=14.8),"On 90th",IF(AND(D106=92,D105&gt;14.8,D105&lt;15.3),"90th-95th",IF(AND(D106=92,D105=15.3),"On 95th",IF(AND(D106=92,D105&gt;15.3),"&gt; 95th",IF(AND(D106=93,D105&lt;12),"&lt; 5th",IF(AND(D106=93,D105=12),"On 5th",IF(AND(D106=93,D105&gt;12,D105&lt;12.3),"5th-10th",IF(AND(D106=93,D105=12.3),"On 10th",IF(AND(D106=93,D105&gt;12.3,D105&lt;15.1),"10th-90th",IF(AND(D106=93,D105=15.1),"On 90th",IF(AND(D106=93,D105&gt;15.1,D105&lt;15.6),"90th-95th",IF(AND(D106=93,D105=15.6),"On 95th",IF(AND(D106=93,D105&gt;15.6),"&gt; 95th",IF(AND(D106=94,D105&lt;12.2),"&lt; 5th",IF(AND(D106=94,D105=12.2),"On 5th",IF(AND(D106=94,D105&gt;12.2,D105&lt;12.5),"5th-10th",IF(AND(D106=94,D105=12.5),"On 10th",IF(AND(D106=94,D105&gt;12.5,D105&lt;15.4),"10th-90th",IF(AND(D106=94,D105=15.4),"On 90th",IF(AND(D106=94,D105&gt;15.4,D105&lt;15.9),"90th-95th",IF(AND(D106=94,D105=15.9),"On 95th",IF(AND(D106=94,D105&gt;15.9),"&gt; 95th")))))))))))))))))))))))))))))))))))))))))))))))))))))))))))))))</f>
        <v>0</v>
      </c>
      <c r="O111" s="37"/>
    </row>
    <row r="112" spans="1:15" ht="15.6" x14ac:dyDescent="0.3">
      <c r="A112" s="30" t="s">
        <v>50</v>
      </c>
      <c r="B112" s="30" t="b">
        <f>IF(AND(D104=1),"4.2",IF(AND(D104=2),"4.9",IF(AND(D104=3),"5.6",IF(AND(D104=4),"6.2",IF(AND(D104=5),"6.7",IF(AND(D104=6),"7.2"))))))</f>
        <v>0</v>
      </c>
      <c r="C112" s="30" t="b">
        <f>IF(AND(D104=7),"7.7",IF(AND(D104=8),"8.1",IF(AND(D104=9),"8.5",IF(AND(D104=10),"8.9",IF(AND(D104=11),"9.2",IF(AND(D104=12),"9.5"))))))</f>
        <v>0</v>
      </c>
      <c r="D112" s="30" t="b">
        <f>IF(AND(D104=13),"9.8",IF(AND(D104=14),"10.1",IF(AND(D104=15),"10.3",IF(AND(D104=16),"10.6",IF(AND(D104=17),"10.8",IF(AND(D104=18),"11"))))))</f>
        <v>0</v>
      </c>
      <c r="E112" s="30" t="b">
        <f>IF(AND(D104=19),"11.2",IF(AND(D104=20),"11.4",IF(AND(D104=21),"11.6",IF(AND(D104=22),"11.7",IF(AND(D104=23),"11.9",IF(AND(D104=24),"12"))))))</f>
        <v>0</v>
      </c>
      <c r="F112" s="15"/>
      <c r="G112" s="31" t="s">
        <v>56</v>
      </c>
      <c r="H112" s="31" t="b">
        <f>IF(AND(D106=46),"2.5",IF(AND(D106=47),"2.7",IF(AND(D106=48),"3",IF(AND(D106=49),"3.2",IF(AND(D106=50),"3.4",IF(AND(D106=51),"3.6",IF(AND(D106=52),"3.8")))))))</f>
        <v>0</v>
      </c>
      <c r="I112" s="31" t="b">
        <f>IF(AND(D106=53),"4.1",IF(AND(D106=54),"4.3",IF(AND(D106=55),"4.6",IF(AND(D106=56),"4.8",IF(AND(D106=57),"5.1",IF(AND(D106=58),"5.3",IF(AND(D106=59),"5.6")))))))</f>
        <v>0</v>
      </c>
      <c r="J112" s="31" t="b">
        <f>IF(AND(D106=60),"5.8",IF(AND(D106=61),"6.1",IF(AND(D106=62),"6.4",IF(AND(D106=63),"6.6",IF(AND(D106=64),"6.8",IF(AND(D106=65),"7.1",IF(AND(D106=66),"7.3")))))))</f>
        <v>0</v>
      </c>
      <c r="K112" s="31" t="b">
        <f>IF(AND(D106=67),"7.6",IF(AND(D106=68),"7.8",IF(AND(D106=69),"8.1",IF(AND(D106=70),"8.3",IF(AND(D106=71),"8.5",IF(AND(D106=72),"8.8",IF(AND(D106=73),"9")))))))</f>
        <v>0</v>
      </c>
      <c r="L112" s="31" t="b">
        <f>IF(AND(D106=74),"9.2",IF(AND(D106=75),"9.5",IF(AND(D106=76),"9.7",IF(AND(D106=77),"9.9",IF(AND(D106=78),"10.2",IF(AND(D106=79),"10.4",IF(AND(D106=80),"10.6")))))))</f>
        <v>0</v>
      </c>
      <c r="M112" s="31" t="b">
        <f>IF(AND(D106=81),"10.8",IF(AND(D106=82),"11",IF(AND(D106=83),"11.2",IF(AND(D106=84),"11.5",IF(AND(D106=85),"11.7",IF(AND(D106=86),"11.9",IF(AND(D106=87),"12.2")))))))</f>
        <v>0</v>
      </c>
      <c r="N112" s="36" t="b">
        <f>IF(AND(D106=88),"12.4",IF(AND(D106=89),"12.6",IF(AND(D106=90),"12.8",IF(AND(D106=91),"13",IF(AND(D106=92),"13.3",IF(AND(D106=93),"13.5",IF(AND(D106=94),"13.8")))))))</f>
        <v>0</v>
      </c>
      <c r="O112" s="37"/>
    </row>
    <row r="113" spans="1:13" ht="15.6" x14ac:dyDescent="0.3">
      <c r="A113" s="32" t="s">
        <v>51</v>
      </c>
      <c r="B113" s="32" t="b">
        <f>IF(AND(D104=1,D106&lt;50),"&lt; 5th",IF(AND(D104=1,D106=50),"On 5th",IF(AND(D104=1,D106&gt;50,D106&lt;50.5),"5th-10th",IF(AND(D104=1,D106=50.5),"On 10th",IF(AND(D104=1,D106&gt;50.5,D106&lt;56.5),"10th-90th",IF(AND(D104=1,D106=56.5),"On 90th",IF(AND(D104=1,D106&gt;56.5,D106&lt;57.5),"90th-95th",IF(AND(D104=1,D106=57.5),"On 95th",IF(AND(D104=1,D106&gt;57.5),"&gt; 95th",IF(AND(D104=2,D106&lt;53),"&lt; 5th",IF(AND(D104=2,D106=53),"On 5th",IF(AND(D104=2,D106&gt;53,D106&lt;53.5),"5th-10th",IF(AND(D104=2,D106=53.5),"On 10th",IF(AND(D104=2,D106&gt;53.5,D106&lt;60),"10th-90th",IF(AND(D104=2,D106=60),"On 90th",IF(AND(D104=2,D106&gt;60,D106&lt;61),"90th-95th",IF(AND(D104=2,D106=61),"On 95th",IF(AND(D104=2,D106&gt;61),"&gt; 95th",IF(AND(D104=3,D106&lt;55.5),"&lt; 5th",IF(AND(D104=3,D106=55.5),"On 5th",IF(AND(D104=3,D106&gt;55.5,D106&lt;56),"5th-10th",IF(AND(D104=3,D106=56),"On 10th",IF(AND(D104=3,D106&gt;56,D106&lt;62.5),"10th-90th",IF(AND(D104=3,D106=62.5),"On 90th",IF(AND(D104=3,D106&gt;62.5,D106&lt;63.5),"90th-95th",IF(AND(D104=3,D106=63.5),"On 95th",IF(AND(D104=3,D106&gt;63.5),"&gt; 95th",IF(AND(D104=4,D106&lt;57.5),"&lt; 5th",IF(AND(D104=4,D106=57.5),"On 5th",IF(AND(D104=4,D106&gt;57.5,D106&lt;58.5),"5th-10th",IF(AND(D104=4,D106=58.5),"On 10th",IF(AND(D104=4,D106&gt;58.5,D106&lt;64.5),"10th-90th",IF(AND(D104=4,D106=64.5),"On 90th",IF(AND(D104=4,D106&gt;64.5,D106&lt;65.5),"90th-95th",IF(AND(D104=4,D106=65.5),"On 95th",IF(AND(D104=4,D106&gt;65.5),"&gt; 95th",IF(AND(D104=5,D106&lt;59.5),"&lt; 5th",IF(AND(D104=5,D106=59.5),"On 5th",IF(AND(D104=5,D106&gt;59.5,D106&lt;60),"5th-10th",IF(AND(D104=5,D106=60),"On 10th",IF(AND(D104=5,D106&gt;60,D106&lt;66.5),"10th-90th",IF(AND(D104=5,D106=66.5),"On 90th",IF(AND(D104=5,D106&gt;66.5,D106&lt;67.5),"90th-95th",IF(AND(D104=5,D106=67.5),"On 95th",IF(AND(D104=5,D106&gt;67.5),"&gt; 95th",IF(AND(D104=6,D106&lt;61),"&lt; 5th",IF(AND(D104=6,D106=61),"On 5th",IF(AND(D104=6,D106&gt;61,D106&lt;62),"5th-10th",IF(AND(D104=6,D106=62),"On 10th",IF(AND(D104=6,D106&gt;62,D106&lt;68.5),"10th-90th",IF(AND(D104=6,D106=68.5),"On 90th",IF(AND(D104=6,D106&gt;68.5,D106&lt;69.5),"90th-95th",IF(AND(D104=6,D106=69.5),"On 95th",IF(AND(D104=6,D106&gt;69.5),"&gt; 95th"))))))))))))))))))))))))))))))))))))))))))))))))))))))</f>
        <v>0</v>
      </c>
      <c r="C113" s="32" t="b">
        <f>IF(AND(D104=7,D106&lt;62.5),"&lt; 5th",IF(AND(D104=7,D106=62.5),"On 5th",IF(AND(D104=7,D106&gt;62.5,D106&lt;63.5),"5th-10th",IF(AND(D104=7,D106=63.5),"On 10th",IF(AND(D104=7,D106&gt;63.5,D106&lt;70),"10th-90th",IF(AND(D104=7,D106=70),"On 90th",IF(AND(D104=7,D106&gt;70,D106&lt;71),"90th-95th",IF(AND(D104=7,D106=71),"On 95th",IF(AND(D104=7,D106&gt;71),"&gt; 95th",IF(AND(D104=8,D106&lt;64),"&lt; 5th",IF(AND(D104=8,D106=64),"On 5th",IF(AND(D104=8,D106&gt;64,D106&lt;65),"5th-10th",IF(AND(D104=8,D106=65),"On 10th",IF(AND(D104=8,D106&gt;65,D106&lt;72),"10th-90th",IF(AND(D104=8,D106=72),"On 90th",IF(AND(D104=8,D106&gt;72,D106&lt;73),"90th-95th",IF(AND(D104=8,D106=73),"On 95th",IF(AND(D104=8,D106&gt;73),"&gt; 95th",IF(AND(D104=9,D106&lt;65.5),"&lt; 5th",IF(AND(D104=9,D106=65.5),"On 5th",IF(AND(D104=9,D106&gt;65.5,D106&lt;66.5),"5th-10th",IF(AND(D104=9,D106=66.5),"On 10th",IF(AND(D104=9,D106&gt;66.5,D106&lt;73.5),"10th-90th",IF(AND(D104=9,D106=73.5),"On 90th",IF(AND(D104=9,D106&gt;73.5,D106&lt;74),"90th-95th",IF(AND(D104=9,D106=74),"On 95th",IF(AND(D104=9,D106&gt;74),"&gt; 95th",IF(AND(D104=10,D106&lt;66.5),"&lt; 5th",IF(AND(D104=10,D106=66.5),"On 5th",IF(AND(D104=10,D106&gt;66.5,D106&lt;67.5),"5th-10th",IF(AND(D104=10,D106=67.5),"On 10th",IF(AND(D104=10,D106&gt;67.5,D106&lt;75),"10th-90th",IF(AND(D104=10,D106=75),"On 90th",IF(AND(D104=10,D106&gt;75,D106&lt;76),"90th-95th",IF(AND(D104=10,D106=76),"On 95th",IF(AND(D104=10,D106&gt;76),"&gt; 95th",IF(AND(D104=11,D106&lt;68),"&lt; 5th",IF(AND(D104=11,D106=68),"On 5th",IF(AND(D104=11,D106&gt;68,D106&lt;69),"5th-10th",IF(AND(D104=11,D106=69),"On 10th",IF(AND(D104=11,D106&gt;69,D106&lt;76),"10th-90th",IF(AND(D104=11,D106=76),"On 90th",IF(AND(D104=11,D106&gt;76,D106&lt;77),"90th-95th",IF(AND(D104=11,D106=77),"On 95th",IF(AND(D104=11,D106&gt;77),"&gt; 95th",IF(AND(D104=12,D106&lt;69),"&lt; 5th",IF(AND(D104=12,D106=69),"On 5th",IF(AND(D104=12,D106&gt;69,D106&lt;70),"5th-10th",IF(AND(D104=12,D106=70),"On 10th",IF(AND(D104=12,D106&gt;70,D106&lt;77.5),"10th-90th",IF(AND(D104=12,D106=77.5),"On 90th",IF(AND(D104=12,D106&gt;77.5,D106&lt;78.5),"90th-95th",IF(AND(D104=12,D106=78.5),"On 95th",IF(AND(D104=12,D106&gt;78.5),"&gt; 95th"))))))))))))))))))))))))))))))))))))))))))))))))))))))</f>
        <v>0</v>
      </c>
      <c r="D113" s="32" t="b">
        <f>IF(AND(D104=13,D106&lt;70),"&lt; 5th",IF(AND(D104=13,D106=70),"On 5th",IF(AND(D104=13,D106&gt;70,D106&lt;71),"5th-10th",IF(AND(D104=13,D106=71),"On 10th",IF(AND(D104=13,D106&gt;71,D106&lt;78.8),"10th-90th",IF(AND(D104=13,D106=78.8),"On 90th",IF(AND(D104=13,D106&gt;78.8,D106&lt;80),"90th-95th",IF(AND(D104=13,D106=80),"On 95th",IF(AND(D104=13,D106&gt;80),"&gt; 95th",IF(AND(D104=14,D106&lt;71),"&lt; 5th",IF(AND(D104=14,D106=71),"On 5th",IF(AND(D104=14,D106&gt;71,D106&lt;72.2),"5th-10th",IF(AND(D104=14,D106=72.2),"On 10th",IF(AND(D104=14,D106&gt;72.2,D106&lt;80),"10th-90th",IF(AND(D104=14,D106=80),"On 90th",IF(AND(D104=14,D106&gt;80,D106&lt;81),"90th-95th",IF(AND(D104=14,D106=81),"On 95th",IF(AND(D104=14,D106&gt;81),"&gt; 95th",IF(AND(D104=15,D106&lt;72),"&lt; 5th",IF(AND(D104=15,D106=72),"On 5th",IF(AND(D104=15,D106&gt;72,D106&lt;73.2),"5th-10th",IF(AND(D104=15,D106=73.2),"On 10th",IF(AND(D104=15,D106&gt;73.2,D106&lt;81),"10th-90th",IF(AND(D104=15,D106=81),"On 90th",IF(AND(D104=15,D106&gt;81,D106&lt;82),"90th-95th",IF(AND(D104=15,D106=82),"On 95th",IF(AND(D104=15,D106&gt;82),"&gt; 95th",IF(AND(D104=16,D106&lt;73),"&lt; 5th",IF(AND(D104=16,D106=73),"On 5th",IF(AND(D104=16,D106&gt;73,D106&lt;74.5),"5th-10th",IF(AND(D104=16,D106=74.5),"On 10th",IF(AND(D104=16,D106&gt;74.5,D106&lt;82),"10th-90th",IF(AND(D104=16,D106=82),"On 90th",IF(AND(D104=16,D106&gt;82,D106&lt;83),"90th-95th",IF(AND(D104=16,D106=83),"On 95th",IF(AND(D104=16,D106&gt;83),"&gt; 95th",IF(AND(D104=17,D106&lt;74),"&lt; 5th",IF(AND(D104=17,D106=74),"On 5th",IF(AND(D104=17,D106&gt;74,D106&lt;75),"5th-10th",IF(AND(D104=17,D106=75),"On 10th",IF(AND(D104=17,D106&gt;75,D106&lt;83.2),"10th-90th",IF(AND(D104=17,D106=83.2),"On 90th",IF(AND(D104=17,D106&gt;83.2,D106&lt;84.3),"90th-95th",IF(AND(D104=17,D106=84.3),"On 95th",IF(AND(D104=17,D106&gt;84.3),"&gt; 95th",IF(AND(D104=18,D106&lt;75),"&lt; 5th",IF(AND(D104=18,D106=75),"On 5th",IF(AND(D104=18,D106&gt;75,D106&lt;76),"5th-10th",IF(AND(D104=18,D106=76),"On 10th",IF(AND(D104=18,D106&gt;76,D106&lt;84.3),"10th-90th",IF(AND(D104=18,D106=84.3),"On 90th",IF(AND(D104=18,D106&gt;84.3,D106&lt;85.4),"90th-95th",IF(AND(D104=18,D106=85.4),"On 95th",IF(AND(D104=18,D106&gt;85.4),"&gt; 95th"))))))))))))))))))))))))))))))))))))))))))))))))))))))</f>
        <v>0</v>
      </c>
      <c r="E113" s="32" t="b">
        <f>IF(AND(D104=19,D106&lt;76),"&lt; 5th",IF(AND(D104=19,D106=76),"On 5th",IF(AND(D104=19,D106&gt;76,D106&lt;77),"5th-10th",IF(AND(D104=19,D106=77),"On 10th",IF(AND(D104=19,D106&gt;77,D106&lt;85.3),"10th-90th",IF(AND(D104=19,D106=85.3),"On 90th",IF(AND(D104=19,D106&gt;85.3,D106&lt;86.5),"90th-95th",IF(AND(D104=19,D106=86.5),"On 95th",IF(AND(D104=19,D106&gt;86.5),"&gt; 95th",IF(AND(D104=20,D106&lt;77),"&lt; 5th",IF(AND(D104=20,D106=77),"On 5th",IF(AND(D104=20,D106&gt;77,D106&lt;78),"5th-10th",IF(AND(D104=20,D106=78),"On 10th",IF(AND(D104=20,D106&gt;78,D106&lt;86.3),"10th-90th",IF(AND(D104=20,D106=86.3),"On 90th",IF(AND(D104=20,D106&gt;86.3,D106&lt;87.5),"90th-95th",IF(AND(D104=20,D106=87.5),"On 95th",IF(AND(D104=20,D106&gt;87.5),"&gt; 95th",IF(AND(D104=21,D106&lt;77.5),"&lt; 5th",IF(AND(D104=21,D106=77.5),"On 5th",IF(AND(D104=21,D106&gt;77.5,D106&lt;79),"5th-10th",IF(AND(D104=21,D106=79),"On 10th",IF(AND(D104=21,D106&gt;79,D106&lt;87.5),"10th-90th",IF(AND(D104=21,D106=87.5),"On 90th",IF(AND(D104=21,D106&gt;87.5,D106&lt;88.5),"90th-95th",IF(AND(D104=21,D106=88.5),"On 95th",IF(AND(D104=21,D106&gt;88.5),"&gt; 95th",IF(AND(D104=22,D106&lt;78.5),"&lt; 5th",IF(AND(D104=22,D106=78.5),"On 5th",IF(AND(D104=22,D106&gt;78.5,D106&lt;79.8),"5th-10th",IF(AND(D104=22,D106=79.8),"On 10th",IF(AND(D104=22,D106&gt;79.8,D106&lt;88.3),"10th-90th",IF(AND(D104=22,D106=88.3),"On 90th",IF(AND(D104=22,D106&gt;88.3,D106&lt;89.5),"90th-95th",IF(AND(D104=22,D106=89.5),"On 95th",IF(AND(D104=22,D106&gt;89.5),"&gt; 95th",IF(AND(D104=23,D106&lt;79.2),"&lt; 5th",IF(AND(D104=23,D106=79.2),"On 5th",IF(AND(D104=23,D106&gt;79.2,D106&lt;80.5),"5th-10th",IF(AND(D104=23,D106=80.5),"On 10th",IF(AND(D104=23,D106&gt;80.5,D106&lt;89.2),"10th-90th",IF(AND(D104=23,D106=89.2),"On 90th",IF(AND(D104=23,D106&gt;89.2,D106&lt;90.5),"90th-95th",IF(AND(D104=23,D106=90.5),"On 95th",IF(AND(D104=23,D106&gt;90.5),"&gt; 95th",IF(AND(D104=24,D106&lt;80),"&lt; 5th",IF(AND(D104=24,D106=80),"On 5th",IF(AND(D104=24,D106&gt;80,D106&lt;81.3),"5th-10th",IF(AND(D104=24,D106=81.3),"On 10th",IF(AND(D104=24,D106&gt;81.3,D106&lt;90),"10th-90th",IF(AND(D104=24,D106=90),"On 90th",IF(AND(D104=24,D106&gt;90,D106&lt;91.5),"90th-95th",IF(AND(D104=24,D106=91.5),"On 95th",IF(AND(D104=24,D106&gt;91.5),"&gt; 95th"))))))))))))))))))))))))))))))))))))))))))))))))))))))</f>
        <v>0</v>
      </c>
      <c r="F113" s="15"/>
      <c r="G113" s="15"/>
      <c r="H113" s="15"/>
      <c r="I113" s="15"/>
      <c r="J113" s="15"/>
      <c r="K113" s="15"/>
      <c r="L113" s="15"/>
      <c r="M113" s="15"/>
    </row>
    <row r="114" spans="1:13" ht="15.6" x14ac:dyDescent="0.3">
      <c r="A114" s="32" t="s">
        <v>64</v>
      </c>
      <c r="B114" s="32" t="b">
        <f>IF(AND(D104=1),"53.5",IF(AND(D104=2),"57",IF(AND(D104=3),"59",IF(AND(D104=4),"61.5",IF(AND(D104=5),"63.5",IF(AND(D104=6),"65"))))))</f>
        <v>0</v>
      </c>
      <c r="C114" s="32" t="b">
        <f>IF(AND(D104=7),"67",IF(AND(D104=8),"68.5",IF(AND(D104=9),"70",IF(AND(D104=10),"71",IF(AND(D104=11),"72.5",IF(AND(D104=12),"74"))))))</f>
        <v>0</v>
      </c>
      <c r="D114" s="32" t="b">
        <f>IF(AND(D104=13),"75",IF(AND(D104=14),"76",IF(AND(D104=15),"77",IF(AND(D104=16),"78",IF(AND(D104=17),"79.5",IF(AND(D104=18),"80"))))))</f>
        <v>0</v>
      </c>
      <c r="E114" s="32" t="b">
        <f>IF(AND(D104=19),"81",IF(AND(D104=20),"82",IF(AND(D104=21),"83",IF(AND(D104=22),"84",IF(AND(D104=23),"85",IF(AND(D104=24),"86"))))))</f>
        <v>0</v>
      </c>
      <c r="F114" s="15"/>
      <c r="G114" s="15"/>
      <c r="H114" s="15"/>
      <c r="I114" s="15"/>
      <c r="J114" s="15"/>
      <c r="K114" s="15"/>
      <c r="L114" s="15"/>
      <c r="M114" s="15"/>
    </row>
    <row r="115" spans="1:13" x14ac:dyDescent="0.3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</row>
    <row r="116" spans="1:13" x14ac:dyDescent="0.3">
      <c r="G116" s="72" t="s">
        <v>102</v>
      </c>
      <c r="H116" s="72"/>
    </row>
  </sheetData>
  <sheetProtection algorithmName="SHA-512" hashValue="FXLiIKUDmvcwmaq/6v43pDa3Rd/nHmgWuv1VQFpZOe/O6w3AJ76Cnz0MvBN9uC6WMLUQNPsjR+9f2Nl0iajiPw==" saltValue="mFf/8rkcmAtAz03zuL6FqA==" spinCount="100000" sheet="1" objects="1" scenarios="1" selectLockedCells="1"/>
  <mergeCells count="57">
    <mergeCell ref="G116:H116"/>
    <mergeCell ref="A58:A59"/>
    <mergeCell ref="C58:C59"/>
    <mergeCell ref="A60:A61"/>
    <mergeCell ref="A86:N87"/>
    <mergeCell ref="A101:N102"/>
    <mergeCell ref="B75:B76"/>
    <mergeCell ref="B78:B80"/>
    <mergeCell ref="B81:B83"/>
    <mergeCell ref="E56:E57"/>
    <mergeCell ref="B62:B66"/>
    <mergeCell ref="B56:C56"/>
    <mergeCell ref="A33:A35"/>
    <mergeCell ref="H26:H30"/>
    <mergeCell ref="G26:G30"/>
    <mergeCell ref="D28:D29"/>
    <mergeCell ref="D30:D31"/>
    <mergeCell ref="C30:C31"/>
    <mergeCell ref="B34:B35"/>
    <mergeCell ref="C25:C26"/>
    <mergeCell ref="D25:D26"/>
    <mergeCell ref="H31:H35"/>
    <mergeCell ref="A28:A31"/>
    <mergeCell ref="C28:C29"/>
    <mergeCell ref="B32:B33"/>
    <mergeCell ref="C32:C33"/>
    <mergeCell ref="D32:D33"/>
    <mergeCell ref="C34:C35"/>
    <mergeCell ref="D34:D35"/>
    <mergeCell ref="G31:G35"/>
    <mergeCell ref="B30:B31"/>
    <mergeCell ref="B28:B29"/>
    <mergeCell ref="B21:B22"/>
    <mergeCell ref="D18:D19"/>
    <mergeCell ref="B23:B24"/>
    <mergeCell ref="B25:B26"/>
    <mergeCell ref="A12:A19"/>
    <mergeCell ref="C12:C13"/>
    <mergeCell ref="D12:D13"/>
    <mergeCell ref="B14:B15"/>
    <mergeCell ref="D14:D15"/>
    <mergeCell ref="A69:N70"/>
    <mergeCell ref="A49:N50"/>
    <mergeCell ref="A38:N39"/>
    <mergeCell ref="A3:M4"/>
    <mergeCell ref="B16:B17"/>
    <mergeCell ref="C16:C17"/>
    <mergeCell ref="D16:D17"/>
    <mergeCell ref="B18:B19"/>
    <mergeCell ref="B12:B13"/>
    <mergeCell ref="D23:D24"/>
    <mergeCell ref="C23:C24"/>
    <mergeCell ref="A21:A26"/>
    <mergeCell ref="C21:C22"/>
    <mergeCell ref="D21:D22"/>
    <mergeCell ref="C14:C15"/>
    <mergeCell ref="C18:C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Shahad Mannan</dc:creator>
  <cp:lastModifiedBy>Bayan alshareef</cp:lastModifiedBy>
  <cp:lastPrinted>2019-11-20T22:04:28Z</cp:lastPrinted>
  <dcterms:created xsi:type="dcterms:W3CDTF">2019-11-20T19:43:11Z</dcterms:created>
  <dcterms:modified xsi:type="dcterms:W3CDTF">2020-05-30T19:47:25Z</dcterms:modified>
</cp:coreProperties>
</file>